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99345DC1-103F-4C68-8A03-08DDA4E370E4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ESTIMATE'!$E$1:$G$402</definedName>
    <definedName name="_xlnm.Print_Area" localSheetId="1">'SITE ESTIMATE'!$A$1:$J$256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5" i="16" l="1"/>
  <c r="F241" i="16"/>
  <c r="F240" i="16"/>
  <c r="F239" i="16"/>
  <c r="I239" i="16" s="1"/>
  <c r="F238" i="16"/>
  <c r="F237" i="16"/>
  <c r="F236" i="16"/>
  <c r="F235" i="16"/>
  <c r="I235" i="16" s="1"/>
  <c r="F234" i="16"/>
  <c r="F223" i="16"/>
  <c r="F222" i="16"/>
  <c r="I222" i="16" s="1"/>
  <c r="F221" i="16"/>
  <c r="I221" i="16" s="1"/>
  <c r="F220" i="16"/>
  <c r="F216" i="16"/>
  <c r="F213" i="16"/>
  <c r="I213" i="16" s="1"/>
  <c r="F212" i="16"/>
  <c r="I212" i="16" s="1"/>
  <c r="F211" i="16"/>
  <c r="F208" i="16"/>
  <c r="F207" i="16"/>
  <c r="F203" i="16"/>
  <c r="I203" i="16" s="1"/>
  <c r="F202" i="16"/>
  <c r="F196" i="16"/>
  <c r="F193" i="16"/>
  <c r="F192" i="16"/>
  <c r="I192" i="16" s="1"/>
  <c r="F191" i="16"/>
  <c r="F190" i="16"/>
  <c r="F189" i="16"/>
  <c r="I189" i="16" s="1"/>
  <c r="F186" i="16"/>
  <c r="I186" i="16" s="1"/>
  <c r="F185" i="16"/>
  <c r="F184" i="16"/>
  <c r="F183" i="16"/>
  <c r="F176" i="16"/>
  <c r="I176" i="16" s="1"/>
  <c r="F174" i="16"/>
  <c r="F171" i="16"/>
  <c r="F170" i="16"/>
  <c r="I170" i="16" s="1"/>
  <c r="F167" i="16"/>
  <c r="I167" i="16" s="1"/>
  <c r="F166" i="16"/>
  <c r="F165" i="16"/>
  <c r="F164" i="16"/>
  <c r="F163" i="16"/>
  <c r="I163" i="16" s="1"/>
  <c r="F162" i="16"/>
  <c r="F161" i="16"/>
  <c r="F160" i="16"/>
  <c r="F157" i="16"/>
  <c r="F156" i="16"/>
  <c r="F155" i="16"/>
  <c r="F154" i="16"/>
  <c r="I154" i="16" s="1"/>
  <c r="F153" i="16"/>
  <c r="I153" i="16" s="1"/>
  <c r="F152" i="16"/>
  <c r="F151" i="16"/>
  <c r="F150" i="16"/>
  <c r="I150" i="16" s="1"/>
  <c r="F149" i="16"/>
  <c r="F148" i="16"/>
  <c r="F147" i="16"/>
  <c r="F146" i="16"/>
  <c r="I146" i="16" s="1"/>
  <c r="F145" i="16"/>
  <c r="I145" i="16" s="1"/>
  <c r="F144" i="16"/>
  <c r="F143" i="16"/>
  <c r="F142" i="16"/>
  <c r="I142" i="16" s="1"/>
  <c r="F141" i="16"/>
  <c r="I141" i="16" s="1"/>
  <c r="F138" i="16"/>
  <c r="F137" i="16"/>
  <c r="F134" i="16"/>
  <c r="I134" i="16" s="1"/>
  <c r="F133" i="16"/>
  <c r="I133" i="16" s="1"/>
  <c r="F132" i="16"/>
  <c r="F131" i="16"/>
  <c r="F130" i="16"/>
  <c r="I130" i="16" s="1"/>
  <c r="F129" i="16"/>
  <c r="F128" i="16"/>
  <c r="F127" i="16"/>
  <c r="F123" i="16"/>
  <c r="F122" i="16"/>
  <c r="I122" i="16" s="1"/>
  <c r="F121" i="16"/>
  <c r="F119" i="16"/>
  <c r="F118" i="16"/>
  <c r="I118" i="16" s="1"/>
  <c r="F117" i="16"/>
  <c r="I117" i="16" s="1"/>
  <c r="F116" i="16"/>
  <c r="F115" i="16"/>
  <c r="F113" i="16"/>
  <c r="I113" i="16" s="1"/>
  <c r="F110" i="16"/>
  <c r="I110" i="16" s="1"/>
  <c r="F109" i="16"/>
  <c r="F108" i="16"/>
  <c r="F107" i="16"/>
  <c r="F106" i="16"/>
  <c r="I106" i="16" s="1"/>
  <c r="F105" i="16"/>
  <c r="F104" i="16"/>
  <c r="F103" i="16"/>
  <c r="F102" i="16"/>
  <c r="I102" i="16" s="1"/>
  <c r="F101" i="16"/>
  <c r="F96" i="16"/>
  <c r="F93" i="16"/>
  <c r="I93" i="16" s="1"/>
  <c r="F92" i="16"/>
  <c r="F91" i="16"/>
  <c r="F90" i="16"/>
  <c r="F89" i="16"/>
  <c r="I89" i="16" s="1"/>
  <c r="F86" i="16"/>
  <c r="I86" i="16" s="1"/>
  <c r="F83" i="16"/>
  <c r="F82" i="16"/>
  <c r="F81" i="16"/>
  <c r="I81" i="16" s="1"/>
  <c r="F80" i="16"/>
  <c r="I80" i="16" s="1"/>
  <c r="F79" i="16"/>
  <c r="F78" i="16"/>
  <c r="F77" i="16"/>
  <c r="I77" i="16" s="1"/>
  <c r="F76" i="16"/>
  <c r="I76" i="16" s="1"/>
  <c r="F75" i="16"/>
  <c r="F74" i="16"/>
  <c r="F73" i="16"/>
  <c r="I73" i="16" s="1"/>
  <c r="F72" i="16"/>
  <c r="I72" i="16" s="1"/>
  <c r="F71" i="16"/>
  <c r="F70" i="16"/>
  <c r="F69" i="16"/>
  <c r="I69" i="16" s="1"/>
  <c r="F68" i="16"/>
  <c r="I68" i="16" s="1"/>
  <c r="F67" i="16"/>
  <c r="F66" i="16"/>
  <c r="F65" i="16"/>
  <c r="I65" i="16" s="1"/>
  <c r="F64" i="16"/>
  <c r="I64" i="16" s="1"/>
  <c r="F63" i="16"/>
  <c r="F62" i="16"/>
  <c r="F61" i="16"/>
  <c r="I61" i="16" s="1"/>
  <c r="F58" i="16"/>
  <c r="I58" i="16" s="1"/>
  <c r="F56" i="16"/>
  <c r="F55" i="16"/>
  <c r="F54" i="16"/>
  <c r="I54" i="16" s="1"/>
  <c r="F53" i="16"/>
  <c r="I53" i="16" s="1"/>
  <c r="F50" i="16"/>
  <c r="F49" i="16"/>
  <c r="F48" i="16"/>
  <c r="F47" i="16"/>
  <c r="I47" i="16" s="1"/>
  <c r="F46" i="16"/>
  <c r="F45" i="16"/>
  <c r="F44" i="16"/>
  <c r="F43" i="16"/>
  <c r="I43" i="16" s="1"/>
  <c r="F42" i="16"/>
  <c r="F37" i="16"/>
  <c r="F36" i="16"/>
  <c r="F33" i="16"/>
  <c r="I33" i="16" s="1"/>
  <c r="F32" i="16"/>
  <c r="F31" i="16"/>
  <c r="F30" i="16"/>
  <c r="I30" i="16" s="1"/>
  <c r="F29" i="16"/>
  <c r="I29" i="16" s="1"/>
  <c r="F28" i="16"/>
  <c r="F27" i="16"/>
  <c r="F26" i="16"/>
  <c r="F25" i="16"/>
  <c r="I25" i="16" s="1"/>
  <c r="I245" i="16"/>
  <c r="I244" i="16"/>
  <c r="I241" i="16"/>
  <c r="I240" i="16"/>
  <c r="I238" i="16"/>
  <c r="I237" i="16"/>
  <c r="I236" i="16"/>
  <c r="I234" i="16"/>
  <c r="I231" i="16"/>
  <c r="I230" i="16"/>
  <c r="I229" i="16"/>
  <c r="I226" i="16"/>
  <c r="I223" i="16"/>
  <c r="I220" i="16"/>
  <c r="I217" i="16"/>
  <c r="I216" i="16"/>
  <c r="I211" i="16"/>
  <c r="I208" i="16"/>
  <c r="I207" i="16"/>
  <c r="I202" i="16"/>
  <c r="I201" i="16"/>
  <c r="I200" i="16"/>
  <c r="I199" i="16"/>
  <c r="I196" i="16"/>
  <c r="I191" i="16"/>
  <c r="I190" i="16"/>
  <c r="I185" i="16"/>
  <c r="I184" i="16"/>
  <c r="I183" i="16"/>
  <c r="I179" i="16"/>
  <c r="I178" i="16"/>
  <c r="I177" i="16"/>
  <c r="I175" i="16"/>
  <c r="I174" i="16"/>
  <c r="I171" i="16"/>
  <c r="I166" i="16"/>
  <c r="I165" i="16"/>
  <c r="I164" i="16"/>
  <c r="I162" i="16"/>
  <c r="I161" i="16"/>
  <c r="I160" i="16"/>
  <c r="I156" i="16"/>
  <c r="I155" i="16"/>
  <c r="I152" i="16"/>
  <c r="I151" i="16"/>
  <c r="I148" i="16"/>
  <c r="I147" i="16"/>
  <c r="I144" i="16"/>
  <c r="I143" i="16"/>
  <c r="I138" i="16"/>
  <c r="I137" i="16"/>
  <c r="I132" i="16"/>
  <c r="I131" i="16"/>
  <c r="I128" i="16"/>
  <c r="I127" i="16"/>
  <c r="I123" i="16"/>
  <c r="I121" i="16"/>
  <c r="I120" i="16"/>
  <c r="I119" i="16"/>
  <c r="I116" i="16"/>
  <c r="I115" i="16"/>
  <c r="I114" i="16"/>
  <c r="I109" i="16"/>
  <c r="I108" i="16"/>
  <c r="I107" i="16"/>
  <c r="I105" i="16"/>
  <c r="I104" i="16"/>
  <c r="I103" i="16"/>
  <c r="I101" i="16"/>
  <c r="I97" i="16"/>
  <c r="I96" i="16"/>
  <c r="I91" i="16"/>
  <c r="I90" i="16"/>
  <c r="I83" i="16"/>
  <c r="I82" i="16"/>
  <c r="I79" i="16"/>
  <c r="I78" i="16"/>
  <c r="I75" i="16"/>
  <c r="I74" i="16"/>
  <c r="I71" i="16"/>
  <c r="I70" i="16"/>
  <c r="I67" i="16"/>
  <c r="I66" i="16"/>
  <c r="I63" i="16"/>
  <c r="I62" i="16"/>
  <c r="I57" i="16"/>
  <c r="I56" i="16"/>
  <c r="I55" i="16"/>
  <c r="I50" i="16"/>
  <c r="I49" i="16"/>
  <c r="I48" i="16"/>
  <c r="I46" i="16"/>
  <c r="I45" i="16"/>
  <c r="I44" i="16"/>
  <c r="I42" i="16"/>
  <c r="I38" i="16"/>
  <c r="I37" i="16"/>
  <c r="I36" i="16"/>
  <c r="I32" i="16"/>
  <c r="I31" i="16"/>
  <c r="I28" i="16"/>
  <c r="I26" i="16"/>
  <c r="A24" i="16"/>
  <c r="A34" i="16"/>
  <c r="A39" i="16"/>
  <c r="A41" i="16"/>
  <c r="A52" i="16"/>
  <c r="A59" i="16"/>
  <c r="A85" i="16"/>
  <c r="A87" i="16"/>
  <c r="A94" i="16"/>
  <c r="A98" i="16"/>
  <c r="A100" i="16"/>
  <c r="A111" i="16"/>
  <c r="A124" i="16"/>
  <c r="A125" i="16"/>
  <c r="A135" i="16"/>
  <c r="A136" i="16"/>
  <c r="A140" i="16"/>
  <c r="A159" i="16"/>
  <c r="A168" i="16"/>
  <c r="A173" i="16"/>
  <c r="A181" i="16"/>
  <c r="A182" i="16"/>
  <c r="A188" i="16"/>
  <c r="A195" i="16"/>
  <c r="A197" i="16"/>
  <c r="A204" i="16"/>
  <c r="A206" i="16"/>
  <c r="A210" i="16"/>
  <c r="A214" i="16"/>
  <c r="A215" i="16"/>
  <c r="A219" i="16"/>
  <c r="A225" i="16"/>
  <c r="A228" i="16"/>
  <c r="A232" i="16"/>
  <c r="A243" i="16"/>
  <c r="A23" i="16"/>
  <c r="I27" i="16"/>
  <c r="I92" i="16" l="1"/>
  <c r="I129" i="16"/>
  <c r="I149" i="16"/>
  <c r="I157" i="16"/>
  <c r="I193" i="16"/>
  <c r="I9" i="16"/>
  <c r="I11" i="16"/>
  <c r="I12" i="16"/>
  <c r="I13" i="16"/>
  <c r="I14" i="16"/>
  <c r="I15" i="16"/>
  <c r="I16" i="16"/>
  <c r="I17" i="16"/>
  <c r="I18" i="16"/>
  <c r="J247" i="16" l="1"/>
  <c r="A19" i="16"/>
  <c r="I10" i="16"/>
  <c r="A9" i="16"/>
  <c r="B12" i="19"/>
  <c r="B11" i="19"/>
  <c r="A246" i="16"/>
  <c r="A10" i="16" l="1"/>
  <c r="A11" i="16" s="1"/>
  <c r="A12" i="16" s="1"/>
  <c r="J20" i="16"/>
  <c r="C16" i="19" l="1"/>
  <c r="D16" i="19" s="1"/>
  <c r="A13" i="16"/>
  <c r="I249" i="16"/>
  <c r="A14" i="16" l="1"/>
  <c r="C17" i="19"/>
  <c r="D17" i="19" s="1"/>
  <c r="A15" i="16" l="1"/>
  <c r="A16" i="16" l="1"/>
  <c r="A17" i="16" l="1"/>
  <c r="A18" i="16" l="1"/>
  <c r="C18" i="19"/>
  <c r="I251" i="16"/>
  <c r="I250" i="16"/>
  <c r="I253" i="16"/>
  <c r="I252" i="16"/>
  <c r="A25" i="16" l="1"/>
  <c r="A26" i="16" s="1"/>
  <c r="D18" i="19"/>
  <c r="D20" i="19" s="1"/>
  <c r="C20" i="19"/>
  <c r="C21" i="19" s="1"/>
  <c r="I254" i="16"/>
  <c r="C5" i="16" s="1"/>
  <c r="A27" i="16" l="1"/>
  <c r="A28" i="16" s="1"/>
  <c r="A29" i="16" s="1"/>
  <c r="C23" i="19"/>
  <c r="C22" i="19"/>
  <c r="C24" i="19"/>
  <c r="A30" i="16" l="1"/>
  <c r="A31" i="16" s="1"/>
  <c r="A40" i="16"/>
  <c r="D25" i="19"/>
  <c r="A32" i="16" l="1"/>
  <c r="A33" i="16" s="1"/>
  <c r="A35" i="16" l="1"/>
  <c r="A36" i="16" s="1"/>
  <c r="A37" i="16" s="1"/>
  <c r="A38" i="16" s="1"/>
  <c r="A42" i="16" l="1"/>
  <c r="A43" i="16" s="1"/>
  <c r="A44" i="16" l="1"/>
  <c r="A45" i="16" s="1"/>
  <c r="A46" i="16" l="1"/>
  <c r="A47" i="16" s="1"/>
  <c r="A48" i="16" s="1"/>
  <c r="A51" i="16"/>
  <c r="A49" i="16" l="1"/>
  <c r="A50" i="16" l="1"/>
  <c r="A53" i="16" l="1"/>
  <c r="A54" i="16" s="1"/>
  <c r="A60" i="16"/>
  <c r="A55" i="16" l="1"/>
  <c r="A56" i="16" s="1"/>
  <c r="A57" i="16" s="1"/>
  <c r="A58" i="16" s="1"/>
  <c r="A61" i="16" s="1"/>
  <c r="A62" i="16" l="1"/>
  <c r="A63" i="16" l="1"/>
  <c r="A64" i="16" s="1"/>
  <c r="A65" i="16" l="1"/>
  <c r="A66" i="16" s="1"/>
  <c r="A67" i="16" l="1"/>
  <c r="A68" i="16" s="1"/>
  <c r="A69" i="16" l="1"/>
  <c r="A70" i="16" s="1"/>
  <c r="A71" i="16" s="1"/>
  <c r="A72" i="16" l="1"/>
  <c r="A73" i="16" s="1"/>
  <c r="A74" i="16" l="1"/>
  <c r="A75" i="16" s="1"/>
  <c r="A76" i="16" l="1"/>
  <c r="A77" i="16" s="1"/>
  <c r="A78" i="16" l="1"/>
  <c r="A79" i="16" s="1"/>
  <c r="A80" i="16" l="1"/>
  <c r="A81" i="16" s="1"/>
  <c r="A82" i="16" l="1"/>
  <c r="A84" i="16" l="1"/>
  <c r="A83" i="16"/>
  <c r="A86" i="16" l="1"/>
  <c r="A88" i="16" s="1"/>
  <c r="A89" i="16" l="1"/>
  <c r="A90" i="16" s="1"/>
  <c r="A91" i="16" l="1"/>
  <c r="A92" i="16" s="1"/>
  <c r="A93" i="16" l="1"/>
  <c r="A95" i="16" s="1"/>
  <c r="A96" i="16" l="1"/>
  <c r="A97" i="16" s="1"/>
  <c r="A99" i="16" s="1"/>
  <c r="A101" i="16" s="1"/>
  <c r="A102" i="16" l="1"/>
  <c r="A103" i="16" s="1"/>
  <c r="A104" i="16" l="1"/>
  <c r="A105" i="16" s="1"/>
  <c r="A106" i="16" s="1"/>
  <c r="A107" i="16" l="1"/>
  <c r="A108" i="16" s="1"/>
  <c r="A109" i="16" l="1"/>
  <c r="A110" i="16" s="1"/>
  <c r="A112" i="16" s="1"/>
  <c r="A113" i="16" l="1"/>
  <c r="A114" i="16" s="1"/>
  <c r="A115" i="16" l="1"/>
  <c r="A116" i="16" l="1"/>
  <c r="A117" i="16" s="1"/>
  <c r="A118" i="16" l="1"/>
  <c r="A119" i="16" s="1"/>
  <c r="A120" i="16" l="1"/>
  <c r="A121" i="16" s="1"/>
  <c r="A122" i="16" l="1"/>
  <c r="A123" i="16" s="1"/>
  <c r="A126" i="16" s="1"/>
  <c r="A127" i="16" l="1"/>
  <c r="A128" i="16" s="1"/>
  <c r="A129" i="16" l="1"/>
  <c r="A130" i="16" s="1"/>
  <c r="A131" i="16" l="1"/>
  <c r="A132" i="16" s="1"/>
  <c r="A133" i="16" l="1"/>
  <c r="A134" i="16" s="1"/>
  <c r="A139" i="16" l="1"/>
  <c r="A137" i="16"/>
  <c r="A138" i="16" s="1"/>
  <c r="A141" i="16" l="1"/>
  <c r="A142" i="16" l="1"/>
  <c r="A143" i="16" s="1"/>
  <c r="A144" i="16" l="1"/>
  <c r="A145" i="16" s="1"/>
  <c r="A146" i="16" l="1"/>
  <c r="A147" i="16" s="1"/>
  <c r="A148" i="16" l="1"/>
  <c r="A149" i="16" s="1"/>
  <c r="A150" i="16" l="1"/>
  <c r="A151" i="16" l="1"/>
  <c r="A152" i="16" s="1"/>
  <c r="A153" i="16" l="1"/>
  <c r="A154" i="16" s="1"/>
  <c r="A155" i="16" l="1"/>
  <c r="A156" i="16" s="1"/>
  <c r="A158" i="16" l="1"/>
  <c r="A157" i="16"/>
  <c r="A160" i="16" l="1"/>
  <c r="A161" i="16" s="1"/>
  <c r="A162" i="16" l="1"/>
  <c r="A163" i="16" s="1"/>
  <c r="A164" i="16" l="1"/>
  <c r="A165" i="16" s="1"/>
  <c r="A166" i="16" l="1"/>
  <c r="A167" i="16" s="1"/>
  <c r="A169" i="16" s="1"/>
  <c r="A172" i="16" l="1"/>
  <c r="A170" i="16"/>
  <c r="A171" i="16" s="1"/>
  <c r="A174" i="16" l="1"/>
  <c r="A175" i="16" l="1"/>
  <c r="A176" i="16" s="1"/>
  <c r="A177" i="16" l="1"/>
  <c r="A178" i="16" s="1"/>
  <c r="A180" i="16" l="1"/>
  <c r="A179" i="16"/>
  <c r="A183" i="16" l="1"/>
  <c r="A184" i="16" l="1"/>
  <c r="A185" i="16" s="1"/>
  <c r="A187" i="16" l="1"/>
  <c r="A186" i="16"/>
  <c r="A189" i="16" l="1"/>
  <c r="A190" i="16" l="1"/>
  <c r="A191" i="16" s="1"/>
  <c r="A194" i="16" l="1"/>
  <c r="A192" i="16"/>
  <c r="A193" i="16" s="1"/>
  <c r="A196" i="16" l="1"/>
  <c r="A198" i="16" s="1"/>
  <c r="A199" i="16" l="1"/>
  <c r="A200" i="16" s="1"/>
  <c r="A201" i="16" l="1"/>
  <c r="A202" i="16" s="1"/>
  <c r="A205" i="16" l="1"/>
  <c r="A203" i="16"/>
  <c r="A207" i="16" l="1"/>
  <c r="A209" i="16" l="1"/>
  <c r="A208" i="16"/>
  <c r="A211" i="16" l="1"/>
  <c r="A212" i="16" l="1"/>
  <c r="A213" i="16" s="1"/>
  <c r="A216" i="16" s="1"/>
  <c r="A218" i="16" l="1"/>
  <c r="A217" i="16"/>
  <c r="A220" i="16" l="1"/>
  <c r="A221" i="16" l="1"/>
  <c r="A222" i="16" s="1"/>
  <c r="A224" i="16" l="1"/>
  <c r="A223" i="16"/>
  <c r="A227" i="16" l="1"/>
  <c r="A226" i="16"/>
  <c r="A229" i="16" l="1"/>
  <c r="A230" i="16" s="1"/>
  <c r="A231" i="16" s="1"/>
  <c r="A233" i="16" s="1"/>
  <c r="A234" i="16" l="1"/>
  <c r="A235" i="16" s="1"/>
  <c r="A236" i="16" l="1"/>
  <c r="A237" i="16" s="1"/>
  <c r="A238" i="16" l="1"/>
  <c r="A239" i="16" l="1"/>
  <c r="A240" i="16" s="1"/>
  <c r="A242" i="16" l="1"/>
  <c r="A241" i="16"/>
  <c r="A244" i="16" l="1"/>
  <c r="A245" i="16" l="1"/>
</calcChain>
</file>

<file path=xl/sharedStrings.xml><?xml version="1.0" encoding="utf-8"?>
<sst xmlns="http://schemas.openxmlformats.org/spreadsheetml/2006/main" count="637" uniqueCount="215">
  <si>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</si>
  <si>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</si>
  <si>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</si>
  <si>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</si>
  <si>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</si>
  <si>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</si>
  <si>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</si>
  <si>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</si>
  <si>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</si>
  <si>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</si>
  <si>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</si>
  <si>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</si>
  <si>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</si>
  <si>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</si>
  <si>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</si>
  <si>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</si>
  <si>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</si>
  <si>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</si>
  <si>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</si>
  <si>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</si>
  <si>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</si>
  <si>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</si>
  <si>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</si>
  <si>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</si>
  <si>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</si>
  <si>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</si>
  <si>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</si>
  <si>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</si>
  <si>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</si>
  <si>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</si>
  <si>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</si>
  <si>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</si>
  <si>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</si>
  <si>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</si>
  <si>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</si>
  <si>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</si>
  <si>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</si>
  <si>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</si>
  <si>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</si>
  <si>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</si>
  <si>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</si>
  <si>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</si>
  <si>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</si>
  <si>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</si>
  <si>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</si>
  <si>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</si>
  <si>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</si>
  <si>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</si>
  <si>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</si>
  <si>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</si>
  <si>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</si>
  <si>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</si>
  <si>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</si>
  <si>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</si>
  <si>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</si>
  <si>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STEEL ANGLE</t>
  </si>
  <si>
    <t>DIVISION 05 -  METAL</t>
  </si>
  <si>
    <t>FIRST FLOOR FRAMING</t>
  </si>
  <si>
    <t>COLUMNS</t>
  </si>
  <si>
    <t>S201-205</t>
  </si>
  <si>
    <t>Schedule/S201</t>
  </si>
  <si>
    <r>
      <rPr>
        <b/>
        <sz val="12"/>
        <rFont val="Calibri"/>
        <family val="2"/>
        <scheme val="minor"/>
      </rPr>
      <t xml:space="preserve">Column C1
Section: </t>
    </r>
    <r>
      <rPr>
        <sz val="12"/>
        <rFont val="Calibri"/>
        <family val="2"/>
        <scheme val="minor"/>
      </rPr>
      <t xml:space="preserve">HSS 6X6X3/8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09 EA</t>
    </r>
  </si>
  <si>
    <r>
      <rPr>
        <b/>
        <sz val="12"/>
        <rFont val="Calibri"/>
        <family val="2"/>
        <scheme val="minor"/>
      </rPr>
      <t xml:space="preserve">Column C2
Section: </t>
    </r>
    <r>
      <rPr>
        <sz val="12"/>
        <rFont val="Calibri"/>
        <family val="2"/>
        <scheme val="minor"/>
      </rPr>
      <t xml:space="preserve">HSS 8X6X5/8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11 EA</t>
    </r>
  </si>
  <si>
    <r>
      <rPr>
        <b/>
        <sz val="12"/>
        <rFont val="Calibri"/>
        <family val="2"/>
        <scheme val="minor"/>
      </rPr>
      <t xml:space="preserve">Column C3 
Section: </t>
    </r>
    <r>
      <rPr>
        <sz val="12"/>
        <rFont val="Calibri"/>
        <family val="2"/>
        <scheme val="minor"/>
      </rPr>
      <t xml:space="preserve">HSS 8X8X3/8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10 EA</t>
    </r>
  </si>
  <si>
    <r>
      <rPr>
        <b/>
        <sz val="12"/>
        <rFont val="Calibri"/>
        <family val="2"/>
        <scheme val="minor"/>
      </rPr>
      <t xml:space="preserve">Column C4 
Section: </t>
    </r>
    <r>
      <rPr>
        <sz val="12"/>
        <rFont val="Calibri"/>
        <family val="2"/>
        <scheme val="minor"/>
      </rPr>
      <t xml:space="preserve">HSS 12X12X1/2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03 EA</t>
    </r>
  </si>
  <si>
    <r>
      <rPr>
        <b/>
        <sz val="12"/>
        <rFont val="Calibri"/>
        <family val="2"/>
        <scheme val="minor"/>
      </rPr>
      <t xml:space="preserve">Column C5
Section: </t>
    </r>
    <r>
      <rPr>
        <sz val="12"/>
        <rFont val="Calibri"/>
        <family val="2"/>
        <scheme val="minor"/>
      </rPr>
      <t xml:space="preserve">W-12X72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 xml:space="preserve"> 02 EA</t>
    </r>
  </si>
  <si>
    <r>
      <rPr>
        <b/>
        <sz val="12"/>
        <rFont val="Calibri"/>
        <family val="2"/>
        <scheme val="minor"/>
      </rPr>
      <t xml:space="preserve">Misc. Columns 
Section: </t>
    </r>
    <r>
      <rPr>
        <sz val="12"/>
        <rFont val="Calibri"/>
        <family val="2"/>
        <scheme val="minor"/>
      </rPr>
      <t>HSS 12X4X1/4</t>
    </r>
    <r>
      <rPr>
        <b/>
        <sz val="12"/>
        <rFont val="Calibri"/>
        <family val="2"/>
        <scheme val="minor"/>
      </rPr>
      <t xml:space="preserve">
Counts: </t>
    </r>
    <r>
      <rPr>
        <sz val="12"/>
        <rFont val="Calibri"/>
        <family val="2"/>
        <scheme val="minor"/>
      </rPr>
      <t xml:space="preserve"> 01 EA</t>
    </r>
  </si>
  <si>
    <r>
      <rPr>
        <b/>
        <sz val="12"/>
        <rFont val="Calibri"/>
        <family val="2"/>
        <scheme val="minor"/>
      </rPr>
      <t xml:space="preserve">Misc. Columns 
Section: </t>
    </r>
    <r>
      <rPr>
        <sz val="12"/>
        <rFont val="Calibri"/>
        <family val="2"/>
        <scheme val="minor"/>
      </rPr>
      <t>HSS 20X4X1/4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02 EA</t>
    </r>
  </si>
  <si>
    <r>
      <rPr>
        <b/>
        <sz val="12"/>
        <rFont val="Calibri"/>
        <family val="2"/>
        <scheme val="minor"/>
      </rPr>
      <t xml:space="preserve">Misc. Columns 
Section: </t>
    </r>
    <r>
      <rPr>
        <sz val="12"/>
        <rFont val="Calibri"/>
        <family val="2"/>
        <scheme val="minor"/>
      </rPr>
      <t>HSS 4X4X1/4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02 EA</t>
    </r>
  </si>
  <si>
    <r>
      <rPr>
        <b/>
        <sz val="12"/>
        <rFont val="Calibri"/>
        <family val="2"/>
        <scheme val="minor"/>
      </rPr>
      <t xml:space="preserve">Misc. Columns 
Section: </t>
    </r>
    <r>
      <rPr>
        <sz val="12"/>
        <rFont val="Calibri"/>
        <family val="2"/>
        <scheme val="minor"/>
      </rPr>
      <t>HSS 8X8X3/8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02 EA</t>
    </r>
  </si>
  <si>
    <t>BASE PLATES</t>
  </si>
  <si>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1'-0"x1'-0"x7/8" W/
- (4) 3/4" Dia. A307 Anchor Bolts</t>
    </r>
  </si>
  <si>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1'-4"x1'-4"x7/8" W/
- (4) 3/4" Dia. A307 Anchor Bolts</t>
    </r>
  </si>
  <si>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7/8" L- Base Plate W/
- (4) 3/4" Dia. A307 Anchor Bolts</t>
    </r>
  </si>
  <si>
    <t>SECOND FLOOR FRAMING</t>
  </si>
  <si>
    <t>COLUMNS/POSTS</t>
  </si>
  <si>
    <r>
      <rPr>
        <b/>
        <sz val="12"/>
        <rFont val="Calibri"/>
        <family val="2"/>
        <scheme val="minor"/>
      </rPr>
      <t xml:space="preserve">Column C1 
Section: </t>
    </r>
    <r>
      <rPr>
        <sz val="12"/>
        <rFont val="Calibri"/>
        <family val="2"/>
        <scheme val="minor"/>
      </rPr>
      <t xml:space="preserve">HSS 6X6X3/8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03 EA</t>
    </r>
  </si>
  <si>
    <r>
      <rPr>
        <b/>
        <sz val="12"/>
        <rFont val="Calibri"/>
        <family val="2"/>
        <scheme val="minor"/>
      </rPr>
      <t xml:space="preserve">Column C2
Section: </t>
    </r>
    <r>
      <rPr>
        <sz val="12"/>
        <rFont val="Calibri"/>
        <family val="2"/>
        <scheme val="minor"/>
      </rPr>
      <t xml:space="preserve">HSS 8X6X5/8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11 EA</t>
    </r>
  </si>
  <si>
    <r>
      <rPr>
        <b/>
        <sz val="12"/>
        <rFont val="Calibri"/>
        <family val="2"/>
        <scheme val="minor"/>
      </rPr>
      <t xml:space="preserve">Column C3 
Section: </t>
    </r>
    <r>
      <rPr>
        <sz val="12"/>
        <rFont val="Calibri"/>
        <family val="2"/>
        <scheme val="minor"/>
      </rPr>
      <t xml:space="preserve">HSS 8X8X3/8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08 EA</t>
    </r>
  </si>
  <si>
    <r>
      <rPr>
        <b/>
        <sz val="12"/>
        <rFont val="Calibri"/>
        <family val="2"/>
        <scheme val="minor"/>
      </rPr>
      <t xml:space="preserve">Column C5 (02 EA.)
Section: </t>
    </r>
    <r>
      <rPr>
        <sz val="12"/>
        <rFont val="Calibri"/>
        <family val="2"/>
        <scheme val="minor"/>
      </rPr>
      <t xml:space="preserve">W-12X72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02 EA</t>
    </r>
  </si>
  <si>
    <r>
      <t xml:space="preserve">HSS 12X4X1/4 </t>
    </r>
    <r>
      <rPr>
        <b/>
        <sz val="12"/>
        <rFont val="Calibri"/>
        <family val="2"/>
        <scheme val="minor"/>
      </rPr>
      <t>(01 EA.)</t>
    </r>
  </si>
  <si>
    <r>
      <t xml:space="preserve">HSS 20X4X1/4 </t>
    </r>
    <r>
      <rPr>
        <b/>
        <sz val="12"/>
        <rFont val="Calibri"/>
        <family val="2"/>
        <scheme val="minor"/>
      </rPr>
      <t>(02 EA.)</t>
    </r>
  </si>
  <si>
    <r>
      <t xml:space="preserve">HSS 6X6X3/8 </t>
    </r>
    <r>
      <rPr>
        <b/>
        <sz val="12"/>
        <rFont val="Calibri"/>
        <family val="2"/>
        <scheme val="minor"/>
      </rPr>
      <t>(01 EA.)</t>
    </r>
  </si>
  <si>
    <r>
      <t xml:space="preserve">HSS 8X8X3/8 </t>
    </r>
    <r>
      <rPr>
        <b/>
        <sz val="12"/>
        <rFont val="Calibri"/>
        <family val="2"/>
        <scheme val="minor"/>
      </rPr>
      <t>(04 EA.)</t>
    </r>
  </si>
  <si>
    <t>PLATES</t>
  </si>
  <si>
    <t>1/2" Cap Plates</t>
  </si>
  <si>
    <t>1/4" Cap Plates</t>
  </si>
  <si>
    <t>1/4" Gusset Plates</t>
  </si>
  <si>
    <t>1/4" Bent Plates</t>
  </si>
  <si>
    <t>10GA. Closure Plate</t>
  </si>
  <si>
    <t>1/4" Stiffener Plates</t>
  </si>
  <si>
    <t>BEAMS</t>
  </si>
  <si>
    <t>HSS-12X6X3/8</t>
  </si>
  <si>
    <t>HSS-12X8X5/8</t>
  </si>
  <si>
    <t>HSS-2X2X1/4</t>
  </si>
  <si>
    <t>HSS-4X4X1/4</t>
  </si>
  <si>
    <t>HSS-8X4X3/8</t>
  </si>
  <si>
    <t>W-12X19</t>
  </si>
  <si>
    <t>W-12X26</t>
  </si>
  <si>
    <t>W-14X22</t>
  </si>
  <si>
    <t>W-14X26</t>
  </si>
  <si>
    <t>W-16X26</t>
  </si>
  <si>
    <t>W-16X31</t>
  </si>
  <si>
    <t>W-16X77</t>
  </si>
  <si>
    <t>W-18X35</t>
  </si>
  <si>
    <t>W-18X40</t>
  </si>
  <si>
    <t>W-21X44</t>
  </si>
  <si>
    <t>W-21X48</t>
  </si>
  <si>
    <t>W-24X55</t>
  </si>
  <si>
    <t>W-24X68</t>
  </si>
  <si>
    <t>W-24X76</t>
  </si>
  <si>
    <t>W-27X84</t>
  </si>
  <si>
    <t>W-30X108</t>
  </si>
  <si>
    <t>W-30X132</t>
  </si>
  <si>
    <t>W-30X90</t>
  </si>
  <si>
    <t>C-CHANNELS</t>
  </si>
  <si>
    <t>C-9X20</t>
  </si>
  <si>
    <t>L-4X4X1/4</t>
  </si>
  <si>
    <t>L-3X3X1/4</t>
  </si>
  <si>
    <t>L-4X4X5/16</t>
  </si>
  <si>
    <t>L-5X5X3/8</t>
  </si>
  <si>
    <t>L-2X2X3/8</t>
  </si>
  <si>
    <t>METAL DECKING</t>
  </si>
  <si>
    <t>1,10/S103</t>
  </si>
  <si>
    <t>3" 20GA. Metal Deck (VERCO W3 Formlock)</t>
  </si>
  <si>
    <t>6/S103</t>
  </si>
  <si>
    <t>1-1/2" 18GA. Metal Deck</t>
  </si>
  <si>
    <t>MAIN ROOF, MANSARD &amp; HIGH ROOF FRAMING</t>
  </si>
  <si>
    <r>
      <rPr>
        <b/>
        <sz val="12"/>
        <rFont val="Calibri"/>
        <family val="2"/>
        <scheme val="minor"/>
      </rPr>
      <t xml:space="preserve">Column C1
Section: </t>
    </r>
    <r>
      <rPr>
        <sz val="12"/>
        <rFont val="Calibri"/>
        <family val="2"/>
        <scheme val="minor"/>
      </rPr>
      <t xml:space="preserve">HSS 6X6X3/8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02 EA</t>
    </r>
  </si>
  <si>
    <r>
      <rPr>
        <b/>
        <sz val="12"/>
        <rFont val="Calibri"/>
        <family val="2"/>
        <scheme val="minor"/>
      </rPr>
      <t xml:space="preserve">Column C2
Section: </t>
    </r>
    <r>
      <rPr>
        <sz val="12"/>
        <rFont val="Calibri"/>
        <family val="2"/>
        <scheme val="minor"/>
      </rPr>
      <t xml:space="preserve">HSS 8X6X5/8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04 EA</t>
    </r>
  </si>
  <si>
    <r>
      <rPr>
        <b/>
        <sz val="12"/>
        <rFont val="Calibri"/>
        <family val="2"/>
        <scheme val="minor"/>
      </rPr>
      <t xml:space="preserve">Column C4
Section: </t>
    </r>
    <r>
      <rPr>
        <sz val="12"/>
        <rFont val="Calibri"/>
        <family val="2"/>
        <scheme val="minor"/>
      </rPr>
      <t xml:space="preserve">HSS 12X12X1/2
</t>
    </r>
    <r>
      <rPr>
        <b/>
        <sz val="12"/>
        <rFont val="Calibri"/>
        <family val="2"/>
        <scheme val="minor"/>
      </rPr>
      <t>Counts:</t>
    </r>
    <r>
      <rPr>
        <sz val="12"/>
        <rFont val="Calibri"/>
        <family val="2"/>
        <scheme val="minor"/>
      </rPr>
      <t xml:space="preserve"> 03 EA</t>
    </r>
  </si>
  <si>
    <r>
      <rPr>
        <b/>
        <sz val="12"/>
        <rFont val="Calibri"/>
        <family val="2"/>
        <scheme val="minor"/>
      </rPr>
      <t xml:space="preserve">Column C5
Section: </t>
    </r>
    <r>
      <rPr>
        <sz val="12"/>
        <rFont val="Calibri"/>
        <family val="2"/>
        <scheme val="minor"/>
      </rPr>
      <t xml:space="preserve">W-12X72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02 EA</t>
    </r>
  </si>
  <si>
    <r>
      <rPr>
        <b/>
        <sz val="12"/>
        <rFont val="Calibri"/>
        <family val="2"/>
        <scheme val="minor"/>
      </rPr>
      <t xml:space="preserve">Columns 
Section: </t>
    </r>
    <r>
      <rPr>
        <sz val="12"/>
        <rFont val="Calibri"/>
        <family val="2"/>
        <scheme val="minor"/>
      </rPr>
      <t>HSS 10X10X1/2</t>
    </r>
    <r>
      <rPr>
        <b/>
        <sz val="12"/>
        <rFont val="Calibri"/>
        <family val="2"/>
        <scheme val="minor"/>
      </rPr>
      <t xml:space="preserve">
Counts: </t>
    </r>
    <r>
      <rPr>
        <sz val="12"/>
        <rFont val="Calibri"/>
        <family val="2"/>
        <scheme val="minor"/>
      </rPr>
      <t xml:space="preserve"> 02 EA</t>
    </r>
  </si>
  <si>
    <r>
      <rPr>
        <b/>
        <sz val="12"/>
        <rFont val="Calibri"/>
        <family val="2"/>
        <scheme val="minor"/>
      </rPr>
      <t xml:space="preserve">Columns
Section: </t>
    </r>
    <r>
      <rPr>
        <sz val="12"/>
        <rFont val="Calibri"/>
        <family val="2"/>
        <scheme val="minor"/>
      </rPr>
      <t xml:space="preserve">HSS 12X4X1/4 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01 EA</t>
    </r>
  </si>
  <si>
    <r>
      <rPr>
        <b/>
        <sz val="12"/>
        <rFont val="Calibri"/>
        <family val="2"/>
        <scheme val="minor"/>
      </rPr>
      <t xml:space="preserve">Columns 
Section: </t>
    </r>
    <r>
      <rPr>
        <sz val="12"/>
        <rFont val="Calibri"/>
        <family val="2"/>
        <scheme val="minor"/>
      </rPr>
      <t>HSS 20X4X1/4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02 EA</t>
    </r>
  </si>
  <si>
    <r>
      <rPr>
        <b/>
        <sz val="12"/>
        <rFont val="Calibri"/>
        <family val="2"/>
        <scheme val="minor"/>
      </rPr>
      <t xml:space="preserve">Columns
Section: </t>
    </r>
    <r>
      <rPr>
        <sz val="12"/>
        <rFont val="Calibri"/>
        <family val="2"/>
        <scheme val="minor"/>
      </rPr>
      <t xml:space="preserve">HSS 6X6X3/8 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01 EA</t>
    </r>
  </si>
  <si>
    <r>
      <rPr>
        <b/>
        <sz val="12"/>
        <rFont val="Calibri"/>
        <family val="2"/>
        <scheme val="minor"/>
      </rPr>
      <t>Columns
Section</t>
    </r>
    <r>
      <rPr>
        <sz val="12"/>
        <rFont val="Calibri"/>
        <family val="2"/>
        <scheme val="minor"/>
      </rPr>
      <t>: HSS 8X8X3/8</t>
    </r>
    <r>
      <rPr>
        <b/>
        <sz val="12"/>
        <rFont val="Calibri"/>
        <family val="2"/>
        <scheme val="minor"/>
      </rPr>
      <t xml:space="preserve">
Counts:  </t>
    </r>
    <r>
      <rPr>
        <sz val="12"/>
        <rFont val="Calibri"/>
        <family val="2"/>
        <scheme val="minor"/>
      </rPr>
      <t>04 EA</t>
    </r>
  </si>
  <si>
    <r>
      <rPr>
        <b/>
        <sz val="12"/>
        <rFont val="Calibri"/>
        <family val="2"/>
        <scheme val="minor"/>
      </rPr>
      <t>Roof Posts RP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 xml:space="preserve">Section: </t>
    </r>
    <r>
      <rPr>
        <sz val="12"/>
        <rFont val="Calibri"/>
        <family val="2"/>
        <scheme val="minor"/>
      </rPr>
      <t xml:space="preserve">HSS6X6X3/8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 xml:space="preserve"> 23 EA</t>
    </r>
  </si>
  <si>
    <t xml:space="preserve"> PLATES</t>
  </si>
  <si>
    <t>1/2" Gusset Plates</t>
  </si>
  <si>
    <t>5/16" Bent Plate</t>
  </si>
  <si>
    <t>16GA. Bent Closure Plate</t>
  </si>
  <si>
    <t>1/4" Bent Plate</t>
  </si>
  <si>
    <t>S602</t>
  </si>
  <si>
    <t>1/4" Bent Plate x 0'-4" Long</t>
  </si>
  <si>
    <t>L-4X4X3/8</t>
  </si>
  <si>
    <t>L-8X4X3/8</t>
  </si>
  <si>
    <t>L-4X3X1/4</t>
  </si>
  <si>
    <t>C-6X8.2</t>
  </si>
  <si>
    <t>BEAMS (MAIN ROOF)</t>
  </si>
  <si>
    <t>HSS-6X6X1/4</t>
  </si>
  <si>
    <t>HSS-8X6X3/8</t>
  </si>
  <si>
    <t>W-10X12</t>
  </si>
  <si>
    <t>W-24X62</t>
  </si>
  <si>
    <t>BEAMS (HIGH ROOF)</t>
  </si>
  <si>
    <t>W-8X21</t>
  </si>
  <si>
    <t>BEAMS (MANSARD ROOF)</t>
  </si>
  <si>
    <t>HSS-6X6X5/16</t>
  </si>
  <si>
    <t>HSS-8X6X5/16</t>
  </si>
  <si>
    <t>1-1/2" 18GA. Metal Roof Deck (VERCO HSB)</t>
  </si>
  <si>
    <t>1-1/2" 18GA. Metal Roof Deck (VERCO HSB-CD)</t>
  </si>
  <si>
    <t>1-1/2" 20GA. Metal Deck</t>
  </si>
  <si>
    <t>1-1/2" 16GA. Metal Roof Deck @ Mansard (VERCO HSB-CD)</t>
  </si>
  <si>
    <t>3" 18GA. Metal Roof Deck @ High Roof (VERCO PLN3-CD)</t>
  </si>
  <si>
    <t>1-1/2" 18GA. Metal Roof Deck @ High Roof (VERCO PLN3-CD)</t>
  </si>
  <si>
    <t>FRAME ELEVATIONS</t>
  </si>
  <si>
    <t>S301-S303</t>
  </si>
  <si>
    <r>
      <t xml:space="preserve">Columns
Section: </t>
    </r>
    <r>
      <rPr>
        <sz val="12"/>
        <rFont val="Calibri"/>
        <family val="2"/>
        <scheme val="minor"/>
      </rPr>
      <t xml:space="preserve">W-21X122
</t>
    </r>
    <r>
      <rPr>
        <b/>
        <sz val="12"/>
        <rFont val="Calibri"/>
        <family val="2"/>
        <scheme val="minor"/>
      </rPr>
      <t xml:space="preserve">Counts: </t>
    </r>
    <r>
      <rPr>
        <sz val="12"/>
        <rFont val="Calibri"/>
        <family val="2"/>
        <scheme val="minor"/>
      </rPr>
      <t>04 EA</t>
    </r>
  </si>
  <si>
    <r>
      <t xml:space="preserve">Columns
Section: </t>
    </r>
    <r>
      <rPr>
        <sz val="12"/>
        <rFont val="Calibri"/>
        <family val="2"/>
        <scheme val="minor"/>
      </rPr>
      <t>W-21X111</t>
    </r>
    <r>
      <rPr>
        <b/>
        <sz val="12"/>
        <rFont val="Calibri"/>
        <family val="2"/>
        <scheme val="minor"/>
      </rPr>
      <t xml:space="preserve">
Counts:</t>
    </r>
    <r>
      <rPr>
        <sz val="12"/>
        <rFont val="Calibri"/>
        <family val="2"/>
        <scheme val="minor"/>
      </rPr>
      <t xml:space="preserve"> 07 EA</t>
    </r>
  </si>
  <si>
    <r>
      <t xml:space="preserve">Columns
Section: </t>
    </r>
    <r>
      <rPr>
        <sz val="12"/>
        <rFont val="Calibri"/>
        <family val="2"/>
        <scheme val="minor"/>
      </rPr>
      <t>W-21X93</t>
    </r>
    <r>
      <rPr>
        <b/>
        <sz val="12"/>
        <rFont val="Calibri"/>
        <family val="2"/>
        <scheme val="minor"/>
      </rPr>
      <t xml:space="preserve">
Counts: </t>
    </r>
    <r>
      <rPr>
        <sz val="12"/>
        <rFont val="Calibri"/>
        <family val="2"/>
        <scheme val="minor"/>
      </rPr>
      <t>02 EA</t>
    </r>
  </si>
  <si>
    <r>
      <t xml:space="preserve">Columns
Section: </t>
    </r>
    <r>
      <rPr>
        <sz val="12"/>
        <rFont val="Calibri"/>
        <family val="2"/>
        <scheme val="minor"/>
      </rPr>
      <t>W-21X73</t>
    </r>
    <r>
      <rPr>
        <b/>
        <sz val="12"/>
        <rFont val="Calibri"/>
        <family val="2"/>
        <scheme val="minor"/>
      </rPr>
      <t xml:space="preserve">
Counts: </t>
    </r>
    <r>
      <rPr>
        <sz val="12"/>
        <rFont val="Calibri"/>
        <family val="2"/>
        <scheme val="minor"/>
      </rPr>
      <t>03 EA</t>
    </r>
  </si>
  <si>
    <t>W-21X62</t>
  </si>
  <si>
    <t>W-21X50</t>
  </si>
  <si>
    <t>W-21X57</t>
  </si>
  <si>
    <t>W-21X93</t>
  </si>
  <si>
    <t>BRACING</t>
  </si>
  <si>
    <t>HSS-4X4X5/16</t>
  </si>
  <si>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2'-6"x1'-8"x3" W/
- (5) 2" Dia. Anchor Bolts</t>
    </r>
  </si>
  <si>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3'-0"x2'-0"x3 3/4" W/
- (5) 2" Dia. Anchor Bolts</t>
    </r>
  </si>
  <si>
    <t>12/S604</t>
  </si>
  <si>
    <t>3/8" Thk Base Plate</t>
  </si>
  <si>
    <t>13/S604</t>
  </si>
  <si>
    <t>5/16" Gusset Plate</t>
  </si>
  <si>
    <t>STAIRS FRAMING</t>
  </si>
  <si>
    <t>STRINGERS</t>
  </si>
  <si>
    <t>HSS-14X6X3/8</t>
  </si>
  <si>
    <t>HSS-14X4X3/8</t>
  </si>
  <si>
    <t>HSS-8X8X3/8</t>
  </si>
  <si>
    <t>HSS-12X8X3/8</t>
  </si>
  <si>
    <t>HSS-12X4X3/8</t>
  </si>
  <si>
    <t>1/4" End Plates</t>
  </si>
  <si>
    <t>L-3.5X3.5X1/2</t>
  </si>
  <si>
    <t>L-1.5X1.5X3/16</t>
  </si>
  <si>
    <t>STEEL PAN</t>
  </si>
  <si>
    <t>12GA. Steel Pan @ Landings</t>
  </si>
  <si>
    <t>STEEL STEPS</t>
  </si>
  <si>
    <t>Stair
Size: 6'-0" x 0'-11"</t>
  </si>
  <si>
    <t>Stair
Size: 4'-4" x 0'-11"</t>
  </si>
  <si>
    <t>Stair
Size: 6'-0" x 1'-0"</t>
  </si>
  <si>
    <t>MISC. ITEMS</t>
  </si>
  <si>
    <t>Shear Studs</t>
  </si>
  <si>
    <t>5/16"  Plates</t>
  </si>
  <si>
    <t xml:space="preserve">3/8" Plate W/
(3) Bolts </t>
  </si>
  <si>
    <t xml:space="preserve">1/2" Plate W/
(4) Bolts </t>
  </si>
  <si>
    <t xml:space="preserve">5/8" Plate W/
(5) Bolts </t>
  </si>
  <si>
    <t xml:space="preserve">5/8" Plate W/
(6) Bolts </t>
  </si>
  <si>
    <t xml:space="preserve">5/8" Plate W/
(7) Bolts </t>
  </si>
  <si>
    <t>MISC. STEEL ALLOWANCES</t>
  </si>
  <si>
    <t>Allowance For Connections, Misc. Plates , Anchor Bolts, Shear Studs &amp; Other Items</t>
  </si>
  <si>
    <t>Allowance For Misc. Steel Items</t>
  </si>
  <si>
    <t>LB</t>
  </si>
  <si>
    <t>EA.</t>
  </si>
  <si>
    <t>Division 05</t>
  </si>
  <si>
    <t>Metal</t>
  </si>
  <si>
    <t>Subtotal (Metal)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</si>
</sst>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  <family val="2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08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41" fontId="26" fillId="24" borderId="32" xfId="45" applyNumberFormat="1" applyFont="1" applyFill="1" applyBorder="1" applyAlignment="1">
      <alignment horizontal="center" vertical="top"/>
    </xf>
    <xf numFmtId="0" fontId="26" fillId="24" borderId="33" xfId="0" applyFont="1" applyFill="1" applyBorder="1" applyAlignment="1">
      <alignment horizontal="center" vertical="top" wrapText="1"/>
    </xf>
    <xf numFmtId="0" fontId="26" fillId="24" borderId="10" xfId="0" applyFont="1" applyFill="1" applyBorder="1" applyAlignment="1">
      <alignment horizontal="center" vertical="top" wrapText="1"/>
    </xf>
    <xf numFmtId="2" fontId="26" fillId="0" borderId="13" xfId="0" applyNumberFormat="1" applyFont="1" applyBorder="1" applyAlignment="1">
      <alignment horizontal="left" vertical="top" wrapText="1"/>
    </xf>
    <xf numFmtId="1" fontId="26" fillId="0" borderId="10" xfId="0" applyNumberFormat="1" applyFont="1" applyBorder="1" applyAlignment="1">
      <alignment horizontal="right" vertical="top"/>
    </xf>
    <xf numFmtId="2" fontId="26" fillId="24" borderId="13" xfId="0" applyNumberFormat="1" applyFont="1" applyFill="1" applyBorder="1" applyAlignment="1">
      <alignment horizontal="left" vertical="top" wrapText="1"/>
    </xf>
    <xf numFmtId="0" fontId="26" fillId="24" borderId="10" xfId="0" applyFont="1" applyFill="1" applyBorder="1" applyAlignment="1">
      <alignment horizontal="center" vertical="top"/>
    </xf>
    <xf numFmtId="0" fontId="26" fillId="0" borderId="10" xfId="0" applyFont="1" applyBorder="1" applyAlignment="1">
      <alignment horizontal="center" vertical="top"/>
    </xf>
    <xf numFmtId="0" fontId="26" fillId="24" borderId="35" xfId="0" applyFont="1" applyFill="1" applyBorder="1" applyAlignment="1">
      <alignment horizontal="center" vertical="top"/>
    </xf>
    <xf numFmtId="0" fontId="26" fillId="24" borderId="36" xfId="0" applyFont="1" applyFill="1" applyBorder="1" applyAlignment="1">
      <alignment horizontal="center" vertical="top" wrapText="1"/>
    </xf>
    <xf numFmtId="0" fontId="26" fillId="24" borderId="37" xfId="0" applyFont="1" applyFill="1" applyBorder="1" applyAlignment="1">
      <alignment horizontal="center" vertical="top" wrapText="1"/>
    </xf>
    <xf numFmtId="2" fontId="27" fillId="27" borderId="16" xfId="0" applyNumberFormat="1" applyFont="1" applyFill="1" applyBorder="1" applyAlignment="1">
      <alignment horizontal="center" vertical="top" wrapText="1"/>
    </xf>
    <xf numFmtId="1" fontId="26" fillId="24" borderId="34" xfId="0" applyNumberFormat="1" applyFont="1" applyFill="1" applyBorder="1" applyAlignment="1">
      <alignment horizontal="center" vertical="top"/>
    </xf>
    <xf numFmtId="2" fontId="50" fillId="24" borderId="13" xfId="0" applyNumberFormat="1" applyFont="1" applyFill="1" applyBorder="1" applyAlignment="1">
      <alignment horizontal="left" vertical="top" wrapText="1"/>
    </xf>
    <xf numFmtId="1" fontId="26" fillId="24" borderId="10" xfId="0" applyNumberFormat="1" applyFont="1" applyFill="1" applyBorder="1" applyAlignment="1">
      <alignment horizontal="center" vertical="top"/>
    </xf>
    <xf numFmtId="0" fontId="26" fillId="24" borderId="25" xfId="0" applyFont="1" applyFill="1" applyBorder="1" applyAlignment="1">
      <alignment horizontal="center" vertical="top" wrapText="1"/>
    </xf>
    <xf numFmtId="0" fontId="26" fillId="24" borderId="13" xfId="0" applyFont="1" applyFill="1" applyBorder="1" applyAlignment="1">
      <alignment horizontal="center" vertical="top"/>
    </xf>
    <xf numFmtId="0" fontId="26" fillId="24" borderId="38" xfId="0" applyFont="1" applyFill="1" applyBorder="1" applyAlignment="1">
      <alignment horizontal="center" vertical="top" wrapText="1"/>
    </xf>
    <xf numFmtId="2" fontId="27" fillId="0" borderId="13" xfId="0" applyNumberFormat="1" applyFont="1" applyBorder="1" applyAlignment="1">
      <alignment horizontal="left" vertical="top" wrapText="1"/>
    </xf>
    <xf numFmtId="0" fontId="26" fillId="24" borderId="32" xfId="0" applyFont="1" applyFill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B2" sqref="B2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30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31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32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33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34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35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36</v>
      </c>
      <c r="B10" s="138" t="s">
        <v>39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37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38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23</v>
      </c>
      <c r="B14" s="156" t="s">
        <v>1</v>
      </c>
      <c r="C14" s="162" t="s">
        <v>4</v>
      </c>
      <c r="D14" s="155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54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52</v>
      </c>
      <c r="B16" s="164" t="s">
        <v>53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212</v>
      </c>
      <c r="B17" s="164" t="s">
        <v>213</v>
      </c>
      <c r="C17" s="152">
        <f>'SITE ESTIMATE'!J247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86" t="s">
        <v>25</v>
      </c>
      <c r="B18" s="186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87" t="s">
        <v>25</v>
      </c>
      <c r="B20" s="188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20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26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27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28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89" t="s">
        <v>3</v>
      </c>
      <c r="B25" s="190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277"/>
  <sheetViews>
    <sheetView showGridLines="0" tabSelected="1" view="pageBreakPreview" zoomScale="90" zoomScaleNormal="90" zoomScaleSheetLayoutView="90" workbookViewId="0">
      <pane ySplit="6" topLeftCell="A85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22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19</v>
      </c>
      <c r="B5" s="54"/>
      <c r="C5" s="59">
        <f>I$254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91" t="s">
        <v>50</v>
      </c>
      <c r="B8" s="192"/>
      <c r="C8" s="192"/>
      <c r="D8" s="192"/>
      <c r="E8" s="192"/>
      <c r="F8" s="192"/>
      <c r="G8" s="192"/>
      <c r="H8" s="192"/>
      <c r="I8" s="192"/>
      <c r="J8" s="193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40</v>
      </c>
      <c r="F9" s="158">
        <v>1</v>
      </c>
      <c r="G9" s="4" t="s">
        <v>21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41</v>
      </c>
      <c r="F10" s="158">
        <v>1</v>
      </c>
      <c r="G10" s="4" t="s">
        <v>21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42</v>
      </c>
      <c r="F11" s="158">
        <v>1</v>
      </c>
      <c r="G11" s="4" t="s">
        <v>21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43</v>
      </c>
      <c r="F12" s="158">
        <v>1</v>
      </c>
      <c r="G12" s="4" t="s">
        <v>21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44</v>
      </c>
      <c r="F13" s="158">
        <v>1</v>
      </c>
      <c r="G13" s="4" t="s">
        <v>21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45</v>
      </c>
      <c r="F14" s="158">
        <v>1</v>
      </c>
      <c r="G14" s="4" t="s">
        <v>21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46</v>
      </c>
      <c r="F15" s="158">
        <v>1</v>
      </c>
      <c r="G15" s="4" t="s">
        <v>21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47</v>
      </c>
      <c r="F16" s="158">
        <v>1</v>
      </c>
      <c r="G16" s="4" t="s">
        <v>21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48</v>
      </c>
      <c r="F17" s="158">
        <v>1</v>
      </c>
      <c r="G17" s="4" t="s">
        <v>21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49</v>
      </c>
      <c r="F18" s="161">
        <v>1</v>
      </c>
      <c r="G18" s="4" t="s">
        <v>21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194" t="s">
        <v>51</v>
      </c>
      <c r="B20" s="195"/>
      <c r="C20" s="195"/>
      <c r="D20" s="195"/>
      <c r="E20" s="195"/>
      <c r="F20" s="195"/>
      <c r="G20" s="195"/>
      <c r="H20" s="195"/>
      <c r="I20" s="196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191" t="s">
        <v>56</v>
      </c>
      <c r="B22" s="192"/>
      <c r="C22" s="192"/>
      <c r="D22" s="192"/>
      <c r="E22" s="192"/>
      <c r="F22" s="192"/>
      <c r="G22" s="192"/>
      <c r="H22" s="192"/>
      <c r="I22" s="192"/>
      <c r="J22" s="193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ht="16.5" thickBot="1" x14ac:dyDescent="0.25">
      <c r="A23" s="4" t="str">
        <f>IF(F23&lt;&gt;"",1+MAX($A$6:A22),"")</f>
        <v/>
      </c>
      <c r="B23" s="174"/>
      <c r="C23" s="175"/>
      <c r="D23" s="176"/>
      <c r="E23" s="177" t="s">
        <v>57</v>
      </c>
      <c r="F23" s="178"/>
      <c r="G23" s="87"/>
      <c r="H23" s="106"/>
      <c r="I23" s="107"/>
      <c r="J23" s="86"/>
    </row>
    <row r="24" spans="1:63" x14ac:dyDescent="0.2">
      <c r="A24" s="4" t="str">
        <f>IF(F24&lt;&gt;"",1+MAX($A$6:A23),"")</f>
        <v/>
      </c>
      <c r="B24" s="168"/>
      <c r="C24" s="168"/>
      <c r="D24" s="170"/>
      <c r="E24" s="179" t="s">
        <v>58</v>
      </c>
      <c r="F24" s="180"/>
      <c r="G24" s="4"/>
      <c r="H24" s="105"/>
      <c r="I24" s="88"/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ht="47.25" x14ac:dyDescent="0.2">
      <c r="A25" s="4">
        <f>IF(F25&lt;&gt;"",1+MAX($A$6:A24),"")</f>
        <v>11</v>
      </c>
      <c r="B25" s="168" t="s">
        <v>59</v>
      </c>
      <c r="C25" s="168" t="s">
        <v>60</v>
      </c>
      <c r="D25" s="170"/>
      <c r="E25" s="169" t="s">
        <v>61</v>
      </c>
      <c r="F25" s="180">
        <f>(4*18.75+3*19.083+2*23.75)*27.48</f>
        <v>4939.50252</v>
      </c>
      <c r="G25" s="172" t="s">
        <v>210</v>
      </c>
      <c r="H25" s="105">
        <v>0</v>
      </c>
      <c r="I25" s="88">
        <f t="shared" ref="I25:I26" si="1">H25*F25</f>
        <v>0</v>
      </c>
      <c r="J25" s="86"/>
    </row>
    <row r="26" spans="1:63" ht="47.25" x14ac:dyDescent="0.2">
      <c r="A26" s="4">
        <f>IF(F26&lt;&gt;"",1+MAX($A$6:A25),"")</f>
        <v>12</v>
      </c>
      <c r="B26" s="168" t="s">
        <v>59</v>
      </c>
      <c r="C26" s="168" t="s">
        <v>60</v>
      </c>
      <c r="D26" s="181"/>
      <c r="E26" s="169" t="s">
        <v>62</v>
      </c>
      <c r="F26" s="180">
        <f>(7*18.75+4*19.083)*50.81</f>
        <v>10547.24142</v>
      </c>
      <c r="G26" s="172" t="s">
        <v>210</v>
      </c>
      <c r="H26" s="105">
        <v>0</v>
      </c>
      <c r="I26" s="88">
        <f t="shared" si="1"/>
        <v>0</v>
      </c>
      <c r="J26" s="86"/>
    </row>
    <row r="27" spans="1:63" ht="47.25" x14ac:dyDescent="0.2">
      <c r="A27" s="4">
        <f>IF(F27&lt;&gt;"",1+MAX($A$6:A26),"")</f>
        <v>13</v>
      </c>
      <c r="B27" s="168" t="s">
        <v>59</v>
      </c>
      <c r="C27" s="168" t="s">
        <v>60</v>
      </c>
      <c r="D27" s="181"/>
      <c r="E27" s="169" t="s">
        <v>63</v>
      </c>
      <c r="F27" s="180">
        <f>(10*18.75)*37.69</f>
        <v>7066.875</v>
      </c>
      <c r="G27" s="172" t="s">
        <v>210</v>
      </c>
      <c r="H27" s="105">
        <v>0</v>
      </c>
      <c r="I27" s="88">
        <f t="shared" ref="I27" si="2">H27*F27</f>
        <v>0</v>
      </c>
      <c r="J27" s="86"/>
    </row>
    <row r="28" spans="1:63" ht="47.25" x14ac:dyDescent="0.2">
      <c r="A28" s="4">
        <f>IF(F28&lt;&gt;"",1+MAX($A$6:A27),"")</f>
        <v>14</v>
      </c>
      <c r="B28" s="168" t="s">
        <v>59</v>
      </c>
      <c r="C28" s="168" t="s">
        <v>60</v>
      </c>
      <c r="D28" s="181"/>
      <c r="E28" s="169" t="s">
        <v>64</v>
      </c>
      <c r="F28" s="180">
        <f>(3*19.083)*76.07</f>
        <v>4354.9314299999996</v>
      </c>
      <c r="G28" s="172" t="s">
        <v>210</v>
      </c>
      <c r="H28" s="105">
        <v>0</v>
      </c>
      <c r="I28" s="88">
        <f t="shared" ref="I28:I91" si="3">H28*F28</f>
        <v>0</v>
      </c>
      <c r="J28" s="86"/>
    </row>
    <row r="29" spans="1:63" ht="47.25" x14ac:dyDescent="0.2">
      <c r="A29" s="4">
        <f>IF(F29&lt;&gt;"",1+MAX($A$6:A28),"")</f>
        <v>15</v>
      </c>
      <c r="B29" s="168" t="s">
        <v>59</v>
      </c>
      <c r="C29" s="168" t="s">
        <v>60</v>
      </c>
      <c r="D29" s="181"/>
      <c r="E29" s="169" t="s">
        <v>65</v>
      </c>
      <c r="F29" s="180">
        <f>(2*19.083*72)</f>
        <v>2747.9519999999998</v>
      </c>
      <c r="G29" s="172" t="s">
        <v>210</v>
      </c>
      <c r="H29" s="105">
        <v>0</v>
      </c>
      <c r="I29" s="88">
        <f t="shared" si="3"/>
        <v>0</v>
      </c>
      <c r="J29" s="86"/>
    </row>
    <row r="30" spans="1:63" ht="47.25" x14ac:dyDescent="0.2">
      <c r="A30" s="4">
        <f>IF(F30&lt;&gt;"",1+MAX($A$6:A29),"")</f>
        <v>16</v>
      </c>
      <c r="B30" s="168" t="s">
        <v>59</v>
      </c>
      <c r="C30" s="168" t="s">
        <v>60</v>
      </c>
      <c r="D30" s="181"/>
      <c r="E30" s="169" t="s">
        <v>66</v>
      </c>
      <c r="F30" s="180">
        <f>1*23.75*25.82</f>
        <v>613.22500000000002</v>
      </c>
      <c r="G30" s="172" t="s">
        <v>210</v>
      </c>
      <c r="H30" s="105">
        <v>0</v>
      </c>
      <c r="I30" s="88">
        <f t="shared" si="3"/>
        <v>0</v>
      </c>
      <c r="J30" s="86"/>
    </row>
    <row r="31" spans="1:63" ht="47.25" x14ac:dyDescent="0.2">
      <c r="A31" s="4">
        <f>IF(F31&lt;&gt;"",1+MAX($A$6:A30),"")</f>
        <v>17</v>
      </c>
      <c r="B31" s="168" t="s">
        <v>59</v>
      </c>
      <c r="C31" s="168" t="s">
        <v>60</v>
      </c>
      <c r="D31" s="181"/>
      <c r="E31" s="171" t="s">
        <v>67</v>
      </c>
      <c r="F31" s="180">
        <f>2*23.75*39.43</f>
        <v>1872.925</v>
      </c>
      <c r="G31" s="172" t="s">
        <v>210</v>
      </c>
      <c r="H31" s="105">
        <v>0</v>
      </c>
      <c r="I31" s="88">
        <f t="shared" si="3"/>
        <v>0</v>
      </c>
      <c r="J31" s="86"/>
    </row>
    <row r="32" spans="1:63" ht="47.25" x14ac:dyDescent="0.2">
      <c r="A32" s="4">
        <f>IF(F32&lt;&gt;"",1+MAX($A$6:A31),"")</f>
        <v>18</v>
      </c>
      <c r="B32" s="168" t="s">
        <v>59</v>
      </c>
      <c r="C32" s="168" t="s">
        <v>60</v>
      </c>
      <c r="D32" s="181"/>
      <c r="E32" s="169" t="s">
        <v>68</v>
      </c>
      <c r="F32" s="180">
        <f>2*19.083*12.21</f>
        <v>466.00686000000002</v>
      </c>
      <c r="G32" s="172" t="s">
        <v>210</v>
      </c>
      <c r="H32" s="105">
        <v>0</v>
      </c>
      <c r="I32" s="88">
        <f t="shared" si="3"/>
        <v>0</v>
      </c>
      <c r="J32" s="86"/>
    </row>
    <row r="33" spans="1:10" ht="47.25" x14ac:dyDescent="0.2">
      <c r="A33" s="4">
        <f>IF(F33&lt;&gt;"",1+MAX($A$6:A32),"")</f>
        <v>19</v>
      </c>
      <c r="B33" s="168" t="s">
        <v>59</v>
      </c>
      <c r="C33" s="168" t="s">
        <v>60</v>
      </c>
      <c r="D33" s="181"/>
      <c r="E33" s="169" t="s">
        <v>69</v>
      </c>
      <c r="F33" s="180">
        <f>2*16*37.69</f>
        <v>1206.08</v>
      </c>
      <c r="G33" s="172" t="s">
        <v>210</v>
      </c>
      <c r="H33" s="105">
        <v>0</v>
      </c>
      <c r="I33" s="88">
        <f t="shared" si="3"/>
        <v>0</v>
      </c>
      <c r="J33" s="86"/>
    </row>
    <row r="34" spans="1:10" x14ac:dyDescent="0.2">
      <c r="A34" s="4" t="str">
        <f>IF(F34&lt;&gt;"",1+MAX($A$6:A33),"")</f>
        <v/>
      </c>
      <c r="B34" s="168"/>
      <c r="C34" s="168"/>
      <c r="D34" s="181"/>
      <c r="E34" s="169"/>
      <c r="F34" s="180"/>
      <c r="G34" s="172"/>
      <c r="H34" s="105"/>
      <c r="I34" s="88"/>
      <c r="J34" s="86"/>
    </row>
    <row r="35" spans="1:10" x14ac:dyDescent="0.2">
      <c r="A35" s="4" t="str">
        <f>IF(F35&lt;&gt;"",1+MAX($A$6:A34),"")</f>
        <v/>
      </c>
      <c r="B35" s="168"/>
      <c r="C35" s="168"/>
      <c r="D35" s="170"/>
      <c r="E35" s="179" t="s">
        <v>70</v>
      </c>
      <c r="F35" s="180"/>
      <c r="G35" s="172"/>
      <c r="H35" s="105"/>
      <c r="I35" s="88"/>
      <c r="J35" s="86"/>
    </row>
    <row r="36" spans="1:10" ht="31.5" x14ac:dyDescent="0.2">
      <c r="A36" s="4">
        <f>IF(F36&lt;&gt;"",1+MAX($A$6:A35),"")</f>
        <v>20</v>
      </c>
      <c r="B36" s="168" t="s">
        <v>59</v>
      </c>
      <c r="C36" s="168" t="s">
        <v>60</v>
      </c>
      <c r="D36" s="170"/>
      <c r="E36" s="169" t="s">
        <v>71</v>
      </c>
      <c r="F36" s="180">
        <f>9+11+10+4</f>
        <v>34</v>
      </c>
      <c r="G36" s="172" t="s">
        <v>211</v>
      </c>
      <c r="H36" s="105">
        <v>0</v>
      </c>
      <c r="I36" s="88">
        <f t="shared" si="3"/>
        <v>0</v>
      </c>
      <c r="J36" s="86"/>
    </row>
    <row r="37" spans="1:10" ht="31.5" x14ac:dyDescent="0.2">
      <c r="A37" s="4">
        <f>IF(F37&lt;&gt;"",1+MAX($A$6:A36),"")</f>
        <v>21</v>
      </c>
      <c r="B37" s="168" t="s">
        <v>59</v>
      </c>
      <c r="C37" s="168" t="s">
        <v>60</v>
      </c>
      <c r="D37" s="170"/>
      <c r="E37" s="169" t="s">
        <v>72</v>
      </c>
      <c r="F37" s="180">
        <f>3+2+1</f>
        <v>6</v>
      </c>
      <c r="G37" s="172" t="s">
        <v>211</v>
      </c>
      <c r="H37" s="105">
        <v>0</v>
      </c>
      <c r="I37" s="88">
        <f t="shared" si="3"/>
        <v>0</v>
      </c>
      <c r="J37" s="86"/>
    </row>
    <row r="38" spans="1:10" ht="31.5" x14ac:dyDescent="0.2">
      <c r="A38" s="4">
        <f>IF(F38&lt;&gt;"",1+MAX($A$6:A37),"")</f>
        <v>22</v>
      </c>
      <c r="B38" s="168" t="s">
        <v>59</v>
      </c>
      <c r="C38" s="168" t="s">
        <v>60</v>
      </c>
      <c r="D38" s="170"/>
      <c r="E38" s="169" t="s">
        <v>73</v>
      </c>
      <c r="F38" s="180">
        <v>2</v>
      </c>
      <c r="G38" s="172" t="s">
        <v>211</v>
      </c>
      <c r="H38" s="105">
        <v>0</v>
      </c>
      <c r="I38" s="88">
        <f t="shared" si="3"/>
        <v>0</v>
      </c>
      <c r="J38" s="86"/>
    </row>
    <row r="39" spans="1:10" ht="16.5" thickBot="1" x14ac:dyDescent="0.25">
      <c r="A39" s="4" t="str">
        <f>IF(F39&lt;&gt;"",1+MAX($A$6:A38),"")</f>
        <v/>
      </c>
      <c r="B39" s="168"/>
      <c r="C39" s="168"/>
      <c r="D39" s="168"/>
      <c r="E39" s="169"/>
      <c r="F39" s="180"/>
      <c r="G39" s="172"/>
      <c r="H39" s="105"/>
      <c r="I39" s="88"/>
      <c r="J39" s="86"/>
    </row>
    <row r="40" spans="1:10" ht="16.5" thickBot="1" x14ac:dyDescent="0.25">
      <c r="A40" s="4" t="str">
        <f>IF(F40&lt;&gt;"",1+MAX($A$6:A39),"")</f>
        <v/>
      </c>
      <c r="B40" s="182"/>
      <c r="C40" s="167"/>
      <c r="D40" s="183"/>
      <c r="E40" s="177" t="s">
        <v>74</v>
      </c>
      <c r="F40" s="178"/>
      <c r="G40" s="185"/>
      <c r="H40" s="105"/>
      <c r="I40" s="88"/>
      <c r="J40" s="86"/>
    </row>
    <row r="41" spans="1:10" x14ac:dyDescent="0.2">
      <c r="A41" s="4" t="str">
        <f>IF(F41&lt;&gt;"",1+MAX($A$6:A40),"")</f>
        <v/>
      </c>
      <c r="B41" s="168"/>
      <c r="C41" s="168"/>
      <c r="D41" s="170"/>
      <c r="E41" s="179" t="s">
        <v>75</v>
      </c>
      <c r="F41" s="180"/>
      <c r="G41" s="172"/>
      <c r="H41" s="105"/>
      <c r="I41" s="88"/>
      <c r="J41" s="86"/>
    </row>
    <row r="42" spans="1:10" ht="47.25" x14ac:dyDescent="0.2">
      <c r="A42" s="4">
        <f>IF(F42&lt;&gt;"",1+MAX($A$6:A41),"")</f>
        <v>23</v>
      </c>
      <c r="B42" s="168" t="s">
        <v>59</v>
      </c>
      <c r="C42" s="168" t="s">
        <v>60</v>
      </c>
      <c r="D42" s="170"/>
      <c r="E42" s="169" t="s">
        <v>76</v>
      </c>
      <c r="F42" s="180">
        <f>(3*18)*27.48</f>
        <v>1483.92</v>
      </c>
      <c r="G42" s="172" t="s">
        <v>210</v>
      </c>
      <c r="H42" s="105">
        <v>0</v>
      </c>
      <c r="I42" s="88">
        <f t="shared" si="3"/>
        <v>0</v>
      </c>
      <c r="J42" s="86"/>
    </row>
    <row r="43" spans="1:10" ht="47.25" x14ac:dyDescent="0.2">
      <c r="A43" s="4">
        <f>IF(F43&lt;&gt;"",1+MAX($A$6:A42),"")</f>
        <v>24</v>
      </c>
      <c r="B43" s="168" t="s">
        <v>59</v>
      </c>
      <c r="C43" s="168" t="s">
        <v>60</v>
      </c>
      <c r="D43" s="181"/>
      <c r="E43" s="169" t="s">
        <v>77</v>
      </c>
      <c r="F43" s="180">
        <f>(10*18+1*18.25)*50.81</f>
        <v>10073.0825</v>
      </c>
      <c r="G43" s="172" t="s">
        <v>210</v>
      </c>
      <c r="H43" s="105">
        <v>0</v>
      </c>
      <c r="I43" s="88">
        <f t="shared" si="3"/>
        <v>0</v>
      </c>
      <c r="J43" s="86"/>
    </row>
    <row r="44" spans="1:10" ht="47.25" x14ac:dyDescent="0.2">
      <c r="A44" s="4">
        <f>IF(F44&lt;&gt;"",1+MAX($A$6:A43),"")</f>
        <v>25</v>
      </c>
      <c r="B44" s="168" t="s">
        <v>59</v>
      </c>
      <c r="C44" s="168" t="s">
        <v>60</v>
      </c>
      <c r="D44" s="181"/>
      <c r="E44" s="169" t="s">
        <v>78</v>
      </c>
      <c r="F44" s="180">
        <f>(8*13)*37.69</f>
        <v>3919.7599999999998</v>
      </c>
      <c r="G44" s="172" t="s">
        <v>210</v>
      </c>
      <c r="H44" s="105">
        <v>0</v>
      </c>
      <c r="I44" s="88">
        <f t="shared" si="3"/>
        <v>0</v>
      </c>
      <c r="J44" s="86"/>
    </row>
    <row r="45" spans="1:10" ht="47.25" x14ac:dyDescent="0.2">
      <c r="A45" s="4">
        <f>IF(F45&lt;&gt;"",1+MAX($A$6:A44),"")</f>
        <v>26</v>
      </c>
      <c r="B45" s="168" t="s">
        <v>59</v>
      </c>
      <c r="C45" s="168" t="s">
        <v>60</v>
      </c>
      <c r="D45" s="181"/>
      <c r="E45" s="169" t="s">
        <v>64</v>
      </c>
      <c r="F45" s="180">
        <f>(3*18)*76.07</f>
        <v>4107.78</v>
      </c>
      <c r="G45" s="172" t="s">
        <v>210</v>
      </c>
      <c r="H45" s="105">
        <v>0</v>
      </c>
      <c r="I45" s="88">
        <f t="shared" si="3"/>
        <v>0</v>
      </c>
      <c r="J45" s="86"/>
    </row>
    <row r="46" spans="1:10" ht="47.25" x14ac:dyDescent="0.2">
      <c r="A46" s="4">
        <f>IF(F46&lt;&gt;"",1+MAX($A$6:A45),"")</f>
        <v>27</v>
      </c>
      <c r="B46" s="168" t="s">
        <v>59</v>
      </c>
      <c r="C46" s="168" t="s">
        <v>60</v>
      </c>
      <c r="D46" s="181"/>
      <c r="E46" s="169" t="s">
        <v>79</v>
      </c>
      <c r="F46" s="180">
        <f>(2*18*72)</f>
        <v>2592</v>
      </c>
      <c r="G46" s="172" t="s">
        <v>210</v>
      </c>
      <c r="H46" s="105">
        <v>0</v>
      </c>
      <c r="I46" s="88">
        <f t="shared" si="3"/>
        <v>0</v>
      </c>
      <c r="J46" s="86"/>
    </row>
    <row r="47" spans="1:10" x14ac:dyDescent="0.2">
      <c r="A47" s="4">
        <f>IF(F47&lt;&gt;"",1+MAX($A$6:A46),"")</f>
        <v>28</v>
      </c>
      <c r="B47" s="168" t="s">
        <v>59</v>
      </c>
      <c r="C47" s="168" t="s">
        <v>60</v>
      </c>
      <c r="D47" s="181"/>
      <c r="E47" s="169" t="s">
        <v>80</v>
      </c>
      <c r="F47" s="180">
        <f>1*18*25.82</f>
        <v>464.76</v>
      </c>
      <c r="G47" s="172" t="s">
        <v>210</v>
      </c>
      <c r="H47" s="105">
        <v>0</v>
      </c>
      <c r="I47" s="88">
        <f t="shared" si="3"/>
        <v>0</v>
      </c>
      <c r="J47" s="86"/>
    </row>
    <row r="48" spans="1:10" x14ac:dyDescent="0.2">
      <c r="A48" s="4">
        <f>IF(F48&lt;&gt;"",1+MAX($A$6:A47),"")</f>
        <v>29</v>
      </c>
      <c r="B48" s="168" t="s">
        <v>59</v>
      </c>
      <c r="C48" s="168" t="s">
        <v>60</v>
      </c>
      <c r="D48" s="181"/>
      <c r="E48" s="171" t="s">
        <v>81</v>
      </c>
      <c r="F48" s="180">
        <f>2*18*39.43</f>
        <v>1419.48</v>
      </c>
      <c r="G48" s="172" t="s">
        <v>210</v>
      </c>
      <c r="H48" s="105">
        <v>0</v>
      </c>
      <c r="I48" s="88">
        <f t="shared" si="3"/>
        <v>0</v>
      </c>
      <c r="J48" s="86"/>
    </row>
    <row r="49" spans="1:10" x14ac:dyDescent="0.2">
      <c r="A49" s="4">
        <f>IF(F49&lt;&gt;"",1+MAX($A$6:A48),"")</f>
        <v>30</v>
      </c>
      <c r="B49" s="168" t="s">
        <v>59</v>
      </c>
      <c r="C49" s="168" t="s">
        <v>60</v>
      </c>
      <c r="D49" s="181"/>
      <c r="E49" s="169" t="s">
        <v>82</v>
      </c>
      <c r="F49" s="180">
        <f>1*18*27.48</f>
        <v>494.64</v>
      </c>
      <c r="G49" s="172" t="s">
        <v>210</v>
      </c>
      <c r="H49" s="105">
        <v>0</v>
      </c>
      <c r="I49" s="88">
        <f t="shared" si="3"/>
        <v>0</v>
      </c>
      <c r="J49" s="86"/>
    </row>
    <row r="50" spans="1:10" x14ac:dyDescent="0.2">
      <c r="A50" s="4">
        <f>IF(F50&lt;&gt;"",1+MAX($A$6:A49),"")</f>
        <v>31</v>
      </c>
      <c r="B50" s="168" t="s">
        <v>59</v>
      </c>
      <c r="C50" s="168" t="s">
        <v>60</v>
      </c>
      <c r="D50" s="181"/>
      <c r="E50" s="169" t="s">
        <v>83</v>
      </c>
      <c r="F50" s="180">
        <f>4*18*37.69</f>
        <v>2713.68</v>
      </c>
      <c r="G50" s="172" t="s">
        <v>210</v>
      </c>
      <c r="H50" s="105">
        <v>0</v>
      </c>
      <c r="I50" s="88">
        <f t="shared" si="3"/>
        <v>0</v>
      </c>
      <c r="J50" s="86"/>
    </row>
    <row r="51" spans="1:10" x14ac:dyDescent="0.2">
      <c r="A51" s="4" t="str">
        <f>IF(F51&lt;&gt;"",1+MAX($A$6:A50),"")</f>
        <v/>
      </c>
      <c r="B51" s="168"/>
      <c r="C51" s="168"/>
      <c r="D51" s="181"/>
      <c r="E51" s="169"/>
      <c r="F51" s="180"/>
      <c r="G51" s="172"/>
      <c r="H51" s="105"/>
      <c r="I51" s="88"/>
      <c r="J51" s="86"/>
    </row>
    <row r="52" spans="1:10" x14ac:dyDescent="0.2">
      <c r="A52" s="4" t="str">
        <f>IF(F52&lt;&gt;"",1+MAX($A$6:A51),"")</f>
        <v/>
      </c>
      <c r="B52" s="168"/>
      <c r="C52" s="168"/>
      <c r="D52" s="170"/>
      <c r="E52" s="179" t="s">
        <v>84</v>
      </c>
      <c r="F52" s="180"/>
      <c r="G52" s="172"/>
      <c r="H52" s="105"/>
      <c r="I52" s="88"/>
      <c r="J52" s="86"/>
    </row>
    <row r="53" spans="1:10" x14ac:dyDescent="0.2">
      <c r="A53" s="4">
        <f>IF(F53&lt;&gt;"",1+MAX($A$6:A52),"")</f>
        <v>32</v>
      </c>
      <c r="B53" s="168" t="s">
        <v>59</v>
      </c>
      <c r="C53" s="168"/>
      <c r="D53" s="170"/>
      <c r="E53" s="169" t="s">
        <v>85</v>
      </c>
      <c r="F53" s="180">
        <f>11</f>
        <v>11</v>
      </c>
      <c r="G53" s="172" t="s">
        <v>211</v>
      </c>
      <c r="H53" s="105">
        <v>0</v>
      </c>
      <c r="I53" s="88">
        <f t="shared" si="3"/>
        <v>0</v>
      </c>
      <c r="J53" s="86"/>
    </row>
    <row r="54" spans="1:10" x14ac:dyDescent="0.2">
      <c r="A54" s="4">
        <f>IF(F54&lt;&gt;"",1+MAX($A$6:A53),"")</f>
        <v>33</v>
      </c>
      <c r="B54" s="168" t="s">
        <v>59</v>
      </c>
      <c r="C54" s="168"/>
      <c r="D54" s="170"/>
      <c r="E54" s="169" t="s">
        <v>86</v>
      </c>
      <c r="F54" s="180">
        <f>13*2+7*2</f>
        <v>40</v>
      </c>
      <c r="G54" s="172" t="s">
        <v>211</v>
      </c>
      <c r="H54" s="105">
        <v>0</v>
      </c>
      <c r="I54" s="88">
        <f t="shared" si="3"/>
        <v>0</v>
      </c>
      <c r="J54" s="86"/>
    </row>
    <row r="55" spans="1:10" x14ac:dyDescent="0.2">
      <c r="A55" s="4">
        <f>IF(F55&lt;&gt;"",1+MAX($A$6:A54),"")</f>
        <v>34</v>
      </c>
      <c r="B55" s="168" t="s">
        <v>59</v>
      </c>
      <c r="C55" s="168"/>
      <c r="D55" s="170"/>
      <c r="E55" s="169" t="s">
        <v>87</v>
      </c>
      <c r="F55" s="180">
        <f>(470/4+1)+23</f>
        <v>141.5</v>
      </c>
      <c r="G55" s="172" t="s">
        <v>211</v>
      </c>
      <c r="H55" s="105">
        <v>0</v>
      </c>
      <c r="I55" s="88">
        <f t="shared" si="3"/>
        <v>0</v>
      </c>
      <c r="J55" s="86"/>
    </row>
    <row r="56" spans="1:10" x14ac:dyDescent="0.2">
      <c r="A56" s="4">
        <f>IF(F56&lt;&gt;"",1+MAX($A$6:A55),"")</f>
        <v>35</v>
      </c>
      <c r="B56" s="168" t="s">
        <v>59</v>
      </c>
      <c r="C56" s="168"/>
      <c r="D56" s="170"/>
      <c r="E56" s="169" t="s">
        <v>88</v>
      </c>
      <c r="F56" s="180">
        <f>470+102.5</f>
        <v>572.5</v>
      </c>
      <c r="G56" s="172" t="s">
        <v>18</v>
      </c>
      <c r="H56" s="105">
        <v>0</v>
      </c>
      <c r="I56" s="88">
        <f t="shared" si="3"/>
        <v>0</v>
      </c>
      <c r="J56" s="86"/>
    </row>
    <row r="57" spans="1:10" x14ac:dyDescent="0.2">
      <c r="A57" s="4">
        <f>IF(F57&lt;&gt;"",1+MAX($A$6:A56),"")</f>
        <v>36</v>
      </c>
      <c r="B57" s="168" t="s">
        <v>59</v>
      </c>
      <c r="C57" s="168"/>
      <c r="D57" s="170"/>
      <c r="E57" s="169" t="s">
        <v>89</v>
      </c>
      <c r="F57" s="180">
        <v>153.1</v>
      </c>
      <c r="G57" s="172" t="s">
        <v>18</v>
      </c>
      <c r="H57" s="105">
        <v>0</v>
      </c>
      <c r="I57" s="88">
        <f t="shared" si="3"/>
        <v>0</v>
      </c>
      <c r="J57" s="86"/>
    </row>
    <row r="58" spans="1:10" x14ac:dyDescent="0.2">
      <c r="A58" s="4">
        <f>IF(F58&lt;&gt;"",1+MAX($A$6:A57),"")</f>
        <v>37</v>
      </c>
      <c r="B58" s="168" t="s">
        <v>59</v>
      </c>
      <c r="C58" s="168"/>
      <c r="D58" s="170"/>
      <c r="E58" s="171" t="s">
        <v>90</v>
      </c>
      <c r="F58" s="180">
        <f>(3893.5*2)/4+1</f>
        <v>1947.75</v>
      </c>
      <c r="G58" s="172" t="s">
        <v>211</v>
      </c>
      <c r="H58" s="105">
        <v>0</v>
      </c>
      <c r="I58" s="88">
        <f t="shared" si="3"/>
        <v>0</v>
      </c>
      <c r="J58" s="86"/>
    </row>
    <row r="59" spans="1:10" x14ac:dyDescent="0.2">
      <c r="A59" s="4" t="str">
        <f>IF(F59&lt;&gt;"",1+MAX($A$6:A58),"")</f>
        <v/>
      </c>
      <c r="B59" s="168"/>
      <c r="C59" s="168"/>
      <c r="D59" s="181"/>
      <c r="E59" s="169"/>
      <c r="F59" s="180"/>
      <c r="G59" s="172"/>
      <c r="H59" s="105"/>
      <c r="I59" s="88"/>
      <c r="J59" s="86"/>
    </row>
    <row r="60" spans="1:10" x14ac:dyDescent="0.2">
      <c r="A60" s="4" t="str">
        <f>IF(F60&lt;&gt;"",1+MAX($A$6:A59),"")</f>
        <v/>
      </c>
      <c r="B60" s="168"/>
      <c r="C60" s="168"/>
      <c r="D60" s="170"/>
      <c r="E60" s="179" t="s">
        <v>91</v>
      </c>
      <c r="F60" s="180"/>
      <c r="G60" s="172"/>
      <c r="H60" s="105"/>
      <c r="I60" s="88"/>
      <c r="J60" s="86"/>
    </row>
    <row r="61" spans="1:10" x14ac:dyDescent="0.2">
      <c r="A61" s="4">
        <f>IF(F61&lt;&gt;"",1+MAX($A$6:A60),"")</f>
        <v>38</v>
      </c>
      <c r="B61" s="168" t="s">
        <v>59</v>
      </c>
      <c r="C61" s="168"/>
      <c r="D61" s="170"/>
      <c r="E61" s="171" t="s">
        <v>92</v>
      </c>
      <c r="F61" s="180">
        <f>287.1*42.79</f>
        <v>12285.009</v>
      </c>
      <c r="G61" s="172" t="s">
        <v>210</v>
      </c>
      <c r="H61" s="105">
        <v>0</v>
      </c>
      <c r="I61" s="88">
        <f t="shared" si="3"/>
        <v>0</v>
      </c>
      <c r="J61" s="86"/>
    </row>
    <row r="62" spans="1:10" x14ac:dyDescent="0.2">
      <c r="A62" s="4">
        <f>IF(F62&lt;&gt;"",1+MAX($A$6:A61),"")</f>
        <v>39</v>
      </c>
      <c r="B62" s="168" t="s">
        <v>59</v>
      </c>
      <c r="C62" s="168"/>
      <c r="D62" s="170"/>
      <c r="E62" s="171" t="s">
        <v>93</v>
      </c>
      <c r="F62" s="180">
        <f>28.2*76.33</f>
        <v>2152.5059999999999</v>
      </c>
      <c r="G62" s="172" t="s">
        <v>210</v>
      </c>
      <c r="H62" s="105">
        <v>0</v>
      </c>
      <c r="I62" s="88">
        <f t="shared" si="3"/>
        <v>0</v>
      </c>
      <c r="J62" s="86"/>
    </row>
    <row r="63" spans="1:10" x14ac:dyDescent="0.2">
      <c r="A63" s="4">
        <f>IF(F63&lt;&gt;"",1+MAX($A$6:A62),"")</f>
        <v>40</v>
      </c>
      <c r="B63" s="168" t="s">
        <v>59</v>
      </c>
      <c r="C63" s="168"/>
      <c r="D63" s="170"/>
      <c r="E63" s="171" t="s">
        <v>94</v>
      </c>
      <c r="F63" s="180">
        <f>65.7*5.41</f>
        <v>355.43700000000001</v>
      </c>
      <c r="G63" s="172" t="s">
        <v>210</v>
      </c>
      <c r="H63" s="105">
        <v>0</v>
      </c>
      <c r="I63" s="88">
        <f t="shared" si="3"/>
        <v>0</v>
      </c>
      <c r="J63" s="86"/>
    </row>
    <row r="64" spans="1:10" x14ac:dyDescent="0.2">
      <c r="A64" s="4">
        <f>IF(F64&lt;&gt;"",1+MAX($A$6:A63),"")</f>
        <v>41</v>
      </c>
      <c r="B64" s="168" t="s">
        <v>59</v>
      </c>
      <c r="C64" s="168"/>
      <c r="D64" s="170"/>
      <c r="E64" s="171" t="s">
        <v>95</v>
      </c>
      <c r="F64" s="180">
        <f>11.6*12.21</f>
        <v>141.636</v>
      </c>
      <c r="G64" s="172" t="s">
        <v>210</v>
      </c>
      <c r="H64" s="105">
        <v>0</v>
      </c>
      <c r="I64" s="88">
        <f t="shared" si="3"/>
        <v>0</v>
      </c>
      <c r="J64" s="86"/>
    </row>
    <row r="65" spans="1:10" x14ac:dyDescent="0.2">
      <c r="A65" s="4">
        <f>IF(F65&lt;&gt;"",1+MAX($A$6:A64),"")</f>
        <v>42</v>
      </c>
      <c r="B65" s="168" t="s">
        <v>59</v>
      </c>
      <c r="C65" s="168"/>
      <c r="D65" s="170"/>
      <c r="E65" s="171" t="s">
        <v>96</v>
      </c>
      <c r="F65" s="180">
        <f>247.8*27.48</f>
        <v>6809.5440000000008</v>
      </c>
      <c r="G65" s="172" t="s">
        <v>210</v>
      </c>
      <c r="H65" s="105">
        <v>0</v>
      </c>
      <c r="I65" s="88">
        <f t="shared" si="3"/>
        <v>0</v>
      </c>
      <c r="J65" s="86"/>
    </row>
    <row r="66" spans="1:10" x14ac:dyDescent="0.2">
      <c r="A66" s="4">
        <f>IF(F66&lt;&gt;"",1+MAX($A$6:A65),"")</f>
        <v>43</v>
      </c>
      <c r="B66" s="168" t="s">
        <v>59</v>
      </c>
      <c r="C66" s="168"/>
      <c r="D66" s="170"/>
      <c r="E66" s="169" t="s">
        <v>97</v>
      </c>
      <c r="F66" s="180">
        <f>1250.3*19</f>
        <v>23755.7</v>
      </c>
      <c r="G66" s="172" t="s">
        <v>210</v>
      </c>
      <c r="H66" s="105">
        <v>0</v>
      </c>
      <c r="I66" s="88">
        <f t="shared" si="3"/>
        <v>0</v>
      </c>
      <c r="J66" s="86"/>
    </row>
    <row r="67" spans="1:10" x14ac:dyDescent="0.2">
      <c r="A67" s="4">
        <f>IF(F67&lt;&gt;"",1+MAX($A$6:A66),"")</f>
        <v>44</v>
      </c>
      <c r="B67" s="168" t="s">
        <v>59</v>
      </c>
      <c r="C67" s="168"/>
      <c r="D67" s="170"/>
      <c r="E67" s="169" t="s">
        <v>98</v>
      </c>
      <c r="F67" s="180">
        <f>61.1*26</f>
        <v>1588.6000000000001</v>
      </c>
      <c r="G67" s="172" t="s">
        <v>210</v>
      </c>
      <c r="H67" s="105">
        <v>0</v>
      </c>
      <c r="I67" s="88">
        <f t="shared" si="3"/>
        <v>0</v>
      </c>
      <c r="J67" s="86"/>
    </row>
    <row r="68" spans="1:10" x14ac:dyDescent="0.2">
      <c r="A68" s="4">
        <f>IF(F68&lt;&gt;"",1+MAX($A$6:A67),"")</f>
        <v>45</v>
      </c>
      <c r="B68" s="168" t="s">
        <v>59</v>
      </c>
      <c r="C68" s="168"/>
      <c r="D68" s="170"/>
      <c r="E68" s="169" t="s">
        <v>99</v>
      </c>
      <c r="F68" s="180">
        <f>289*22</f>
        <v>6358</v>
      </c>
      <c r="G68" s="172" t="s">
        <v>210</v>
      </c>
      <c r="H68" s="105">
        <v>0</v>
      </c>
      <c r="I68" s="88">
        <f t="shared" si="3"/>
        <v>0</v>
      </c>
      <c r="J68" s="86"/>
    </row>
    <row r="69" spans="1:10" x14ac:dyDescent="0.2">
      <c r="A69" s="4">
        <f>IF(F69&lt;&gt;"",1+MAX($A$6:A68),"")</f>
        <v>46</v>
      </c>
      <c r="B69" s="168" t="s">
        <v>59</v>
      </c>
      <c r="C69" s="168"/>
      <c r="D69" s="170"/>
      <c r="E69" s="169" t="s">
        <v>100</v>
      </c>
      <c r="F69" s="180">
        <f>28.8*26</f>
        <v>748.80000000000007</v>
      </c>
      <c r="G69" s="172" t="s">
        <v>210</v>
      </c>
      <c r="H69" s="105">
        <v>0</v>
      </c>
      <c r="I69" s="88">
        <f t="shared" si="3"/>
        <v>0</v>
      </c>
      <c r="J69" s="86"/>
    </row>
    <row r="70" spans="1:10" x14ac:dyDescent="0.2">
      <c r="A70" s="4">
        <f>IF(F70&lt;&gt;"",1+MAX($A$6:A69),"")</f>
        <v>47</v>
      </c>
      <c r="B70" s="168" t="s">
        <v>59</v>
      </c>
      <c r="C70" s="168"/>
      <c r="D70" s="170"/>
      <c r="E70" s="169" t="s">
        <v>101</v>
      </c>
      <c r="F70" s="180">
        <f>233.7*26</f>
        <v>6076.2</v>
      </c>
      <c r="G70" s="172" t="s">
        <v>210</v>
      </c>
      <c r="H70" s="105">
        <v>0</v>
      </c>
      <c r="I70" s="88">
        <f t="shared" si="3"/>
        <v>0</v>
      </c>
      <c r="J70" s="86"/>
    </row>
    <row r="71" spans="1:10" x14ac:dyDescent="0.2">
      <c r="A71" s="4">
        <f>IF(F71&lt;&gt;"",1+MAX($A$6:A70),"")</f>
        <v>48</v>
      </c>
      <c r="B71" s="168" t="s">
        <v>59</v>
      </c>
      <c r="C71" s="168"/>
      <c r="D71" s="170"/>
      <c r="E71" s="169" t="s">
        <v>102</v>
      </c>
      <c r="F71" s="180">
        <f>543.2*31</f>
        <v>16839.2</v>
      </c>
      <c r="G71" s="172" t="s">
        <v>210</v>
      </c>
      <c r="H71" s="105">
        <v>0</v>
      </c>
      <c r="I71" s="88">
        <f t="shared" si="3"/>
        <v>0</v>
      </c>
      <c r="J71" s="86"/>
    </row>
    <row r="72" spans="1:10" x14ac:dyDescent="0.2">
      <c r="A72" s="4">
        <f>IF(F72&lt;&gt;"",1+MAX($A$6:A71),"")</f>
        <v>49</v>
      </c>
      <c r="B72" s="168" t="s">
        <v>59</v>
      </c>
      <c r="C72" s="168"/>
      <c r="D72" s="170"/>
      <c r="E72" s="169" t="s">
        <v>103</v>
      </c>
      <c r="F72" s="180">
        <f>31.8*77</f>
        <v>2448.6</v>
      </c>
      <c r="G72" s="172" t="s">
        <v>210</v>
      </c>
      <c r="H72" s="105">
        <v>0</v>
      </c>
      <c r="I72" s="88">
        <f t="shared" si="3"/>
        <v>0</v>
      </c>
      <c r="J72" s="86"/>
    </row>
    <row r="73" spans="1:10" x14ac:dyDescent="0.2">
      <c r="A73" s="4">
        <f>IF(F73&lt;&gt;"",1+MAX($A$6:A72),"")</f>
        <v>50</v>
      </c>
      <c r="B73" s="168" t="s">
        <v>59</v>
      </c>
      <c r="C73" s="168"/>
      <c r="D73" s="170"/>
      <c r="E73" s="169" t="s">
        <v>104</v>
      </c>
      <c r="F73" s="180">
        <f>397*35</f>
        <v>13895</v>
      </c>
      <c r="G73" s="172" t="s">
        <v>210</v>
      </c>
      <c r="H73" s="105">
        <v>0</v>
      </c>
      <c r="I73" s="88">
        <f t="shared" si="3"/>
        <v>0</v>
      </c>
      <c r="J73" s="86"/>
    </row>
    <row r="74" spans="1:10" x14ac:dyDescent="0.2">
      <c r="A74" s="4">
        <f>IF(F74&lt;&gt;"",1+MAX($A$6:A73),"")</f>
        <v>51</v>
      </c>
      <c r="B74" s="168" t="s">
        <v>59</v>
      </c>
      <c r="C74" s="168"/>
      <c r="D74" s="170"/>
      <c r="E74" s="169" t="s">
        <v>105</v>
      </c>
      <c r="F74" s="180">
        <f>40.2*40</f>
        <v>1608</v>
      </c>
      <c r="G74" s="172" t="s">
        <v>210</v>
      </c>
      <c r="H74" s="105">
        <v>0</v>
      </c>
      <c r="I74" s="88">
        <f t="shared" si="3"/>
        <v>0</v>
      </c>
      <c r="J74" s="86"/>
    </row>
    <row r="75" spans="1:10" x14ac:dyDescent="0.2">
      <c r="A75" s="4">
        <f>IF(F75&lt;&gt;"",1+MAX($A$6:A74),"")</f>
        <v>52</v>
      </c>
      <c r="B75" s="168" t="s">
        <v>59</v>
      </c>
      <c r="C75" s="168"/>
      <c r="D75" s="170"/>
      <c r="E75" s="169" t="s">
        <v>106</v>
      </c>
      <c r="F75" s="180">
        <f>171.2*44</f>
        <v>7532.7999999999993</v>
      </c>
      <c r="G75" s="172" t="s">
        <v>210</v>
      </c>
      <c r="H75" s="105">
        <v>0</v>
      </c>
      <c r="I75" s="88">
        <f t="shared" si="3"/>
        <v>0</v>
      </c>
      <c r="J75" s="86"/>
    </row>
    <row r="76" spans="1:10" x14ac:dyDescent="0.2">
      <c r="A76" s="4">
        <f>IF(F76&lt;&gt;"",1+MAX($A$6:A75),"")</f>
        <v>53</v>
      </c>
      <c r="B76" s="168" t="s">
        <v>59</v>
      </c>
      <c r="C76" s="168"/>
      <c r="D76" s="170"/>
      <c r="E76" s="169" t="s">
        <v>107</v>
      </c>
      <c r="F76" s="180">
        <f>47.3*48</f>
        <v>2270.3999999999996</v>
      </c>
      <c r="G76" s="172" t="s">
        <v>210</v>
      </c>
      <c r="H76" s="105">
        <v>0</v>
      </c>
      <c r="I76" s="88">
        <f t="shared" si="3"/>
        <v>0</v>
      </c>
      <c r="J76" s="86"/>
    </row>
    <row r="77" spans="1:10" x14ac:dyDescent="0.2">
      <c r="A77" s="4">
        <f>IF(F77&lt;&gt;"",1+MAX($A$6:A76),"")</f>
        <v>54</v>
      </c>
      <c r="B77" s="168" t="s">
        <v>59</v>
      </c>
      <c r="C77" s="168"/>
      <c r="D77" s="170"/>
      <c r="E77" s="169" t="s">
        <v>108</v>
      </c>
      <c r="F77" s="180">
        <f>47.2*55</f>
        <v>2596</v>
      </c>
      <c r="G77" s="172" t="s">
        <v>210</v>
      </c>
      <c r="H77" s="105">
        <v>0</v>
      </c>
      <c r="I77" s="88">
        <f t="shared" si="3"/>
        <v>0</v>
      </c>
      <c r="J77" s="86"/>
    </row>
    <row r="78" spans="1:10" x14ac:dyDescent="0.2">
      <c r="A78" s="4">
        <f>IF(F78&lt;&gt;"",1+MAX($A$6:A77),"")</f>
        <v>55</v>
      </c>
      <c r="B78" s="168" t="s">
        <v>59</v>
      </c>
      <c r="C78" s="168"/>
      <c r="D78" s="170"/>
      <c r="E78" s="169" t="s">
        <v>109</v>
      </c>
      <c r="F78" s="180">
        <f>198*68</f>
        <v>13464</v>
      </c>
      <c r="G78" s="172" t="s">
        <v>210</v>
      </c>
      <c r="H78" s="105">
        <v>0</v>
      </c>
      <c r="I78" s="88">
        <f t="shared" si="3"/>
        <v>0</v>
      </c>
      <c r="J78" s="86"/>
    </row>
    <row r="79" spans="1:10" x14ac:dyDescent="0.2">
      <c r="A79" s="4">
        <f>IF(F79&lt;&gt;"",1+MAX($A$6:A78),"")</f>
        <v>56</v>
      </c>
      <c r="B79" s="168" t="s">
        <v>59</v>
      </c>
      <c r="C79" s="168"/>
      <c r="D79" s="170"/>
      <c r="E79" s="169" t="s">
        <v>110</v>
      </c>
      <c r="F79" s="180">
        <f>45.1*76</f>
        <v>3427.6</v>
      </c>
      <c r="G79" s="172" t="s">
        <v>210</v>
      </c>
      <c r="H79" s="105">
        <v>0</v>
      </c>
      <c r="I79" s="88">
        <f t="shared" si="3"/>
        <v>0</v>
      </c>
      <c r="J79" s="86"/>
    </row>
    <row r="80" spans="1:10" x14ac:dyDescent="0.2">
      <c r="A80" s="4">
        <f>IF(F80&lt;&gt;"",1+MAX($A$6:A79),"")</f>
        <v>57</v>
      </c>
      <c r="B80" s="168" t="s">
        <v>59</v>
      </c>
      <c r="C80" s="168"/>
      <c r="D80" s="170"/>
      <c r="E80" s="169" t="s">
        <v>111</v>
      </c>
      <c r="F80" s="180">
        <f>44.4*84</f>
        <v>3729.6</v>
      </c>
      <c r="G80" s="172" t="s">
        <v>210</v>
      </c>
      <c r="H80" s="105">
        <v>0</v>
      </c>
      <c r="I80" s="88">
        <f t="shared" si="3"/>
        <v>0</v>
      </c>
      <c r="J80" s="86"/>
    </row>
    <row r="81" spans="1:10" x14ac:dyDescent="0.2">
      <c r="A81" s="4">
        <f>IF(F81&lt;&gt;"",1+MAX($A$6:A80),"")</f>
        <v>58</v>
      </c>
      <c r="B81" s="168" t="s">
        <v>59</v>
      </c>
      <c r="C81" s="168"/>
      <c r="D81" s="170"/>
      <c r="E81" s="169" t="s">
        <v>112</v>
      </c>
      <c r="F81" s="180">
        <f>110.4*108</f>
        <v>11923.2</v>
      </c>
      <c r="G81" s="172" t="s">
        <v>210</v>
      </c>
      <c r="H81" s="105">
        <v>0</v>
      </c>
      <c r="I81" s="88">
        <f t="shared" si="3"/>
        <v>0</v>
      </c>
      <c r="J81" s="86"/>
    </row>
    <row r="82" spans="1:10" x14ac:dyDescent="0.2">
      <c r="A82" s="4">
        <f>IF(F82&lt;&gt;"",1+MAX($A$6:A81),"")</f>
        <v>59</v>
      </c>
      <c r="B82" s="168" t="s">
        <v>59</v>
      </c>
      <c r="C82" s="168"/>
      <c r="D82" s="170"/>
      <c r="E82" s="169" t="s">
        <v>113</v>
      </c>
      <c r="F82" s="180">
        <f>47.5*132</f>
        <v>6270</v>
      </c>
      <c r="G82" s="172" t="s">
        <v>210</v>
      </c>
      <c r="H82" s="105">
        <v>0</v>
      </c>
      <c r="I82" s="88">
        <f t="shared" si="3"/>
        <v>0</v>
      </c>
      <c r="J82" s="86"/>
    </row>
    <row r="83" spans="1:10" x14ac:dyDescent="0.2">
      <c r="A83" s="4">
        <f>IF(F83&lt;&gt;"",1+MAX($A$6:A82),"")</f>
        <v>60</v>
      </c>
      <c r="B83" s="168" t="s">
        <v>59</v>
      </c>
      <c r="C83" s="168"/>
      <c r="D83" s="170"/>
      <c r="E83" s="169" t="s">
        <v>114</v>
      </c>
      <c r="F83" s="180">
        <f>62.1*90</f>
        <v>5589</v>
      </c>
      <c r="G83" s="172" t="s">
        <v>210</v>
      </c>
      <c r="H83" s="105">
        <v>0</v>
      </c>
      <c r="I83" s="88">
        <f t="shared" si="3"/>
        <v>0</v>
      </c>
      <c r="J83" s="86"/>
    </row>
    <row r="84" spans="1:10" x14ac:dyDescent="0.2">
      <c r="A84" s="4" t="str">
        <f>IF(F84&lt;&gt;"",1+MAX($A$6:A83),"")</f>
        <v/>
      </c>
      <c r="B84" s="168"/>
      <c r="C84" s="168"/>
      <c r="D84" s="181"/>
      <c r="E84" s="169"/>
      <c r="F84" s="180"/>
      <c r="G84" s="172"/>
      <c r="H84" s="105"/>
      <c r="I84" s="88"/>
      <c r="J84" s="86"/>
    </row>
    <row r="85" spans="1:10" x14ac:dyDescent="0.2">
      <c r="A85" s="4" t="str">
        <f>IF(F85&lt;&gt;"",1+MAX($A$6:A84),"")</f>
        <v/>
      </c>
      <c r="B85" s="168"/>
      <c r="C85" s="168"/>
      <c r="D85" s="170"/>
      <c r="E85" s="179" t="s">
        <v>115</v>
      </c>
      <c r="F85" s="180"/>
      <c r="G85" s="172"/>
      <c r="H85" s="105"/>
      <c r="I85" s="88"/>
      <c r="J85" s="86"/>
    </row>
    <row r="86" spans="1:10" x14ac:dyDescent="0.2">
      <c r="A86" s="4">
        <f>IF(F86&lt;&gt;"",1+MAX($A$6:A85),"")</f>
        <v>61</v>
      </c>
      <c r="B86" s="168" t="s">
        <v>59</v>
      </c>
      <c r="C86" s="168"/>
      <c r="D86" s="170"/>
      <c r="E86" s="169" t="s">
        <v>116</v>
      </c>
      <c r="F86" s="180">
        <f>18.6*2*20</f>
        <v>744</v>
      </c>
      <c r="G86" s="172" t="s">
        <v>210</v>
      </c>
      <c r="H86" s="105">
        <v>0</v>
      </c>
      <c r="I86" s="88">
        <f t="shared" si="3"/>
        <v>0</v>
      </c>
      <c r="J86" s="86"/>
    </row>
    <row r="87" spans="1:10" x14ac:dyDescent="0.2">
      <c r="A87" s="4" t="str">
        <f>IF(F87&lt;&gt;"",1+MAX($A$6:A86),"")</f>
        <v/>
      </c>
      <c r="B87" s="168"/>
      <c r="C87" s="168"/>
      <c r="D87" s="170"/>
      <c r="E87" s="169"/>
      <c r="F87" s="180"/>
      <c r="G87" s="172"/>
      <c r="H87" s="105"/>
      <c r="I87" s="88"/>
      <c r="J87" s="86"/>
    </row>
    <row r="88" spans="1:10" x14ac:dyDescent="0.2">
      <c r="A88" s="4" t="str">
        <f>IF(F88&lt;&gt;"",1+MAX($A$6:A87),"")</f>
        <v/>
      </c>
      <c r="B88" s="168"/>
      <c r="C88" s="168"/>
      <c r="D88" s="170"/>
      <c r="E88" s="179" t="s">
        <v>55</v>
      </c>
      <c r="F88" s="180"/>
      <c r="G88" s="172"/>
      <c r="H88" s="105"/>
      <c r="I88" s="88"/>
      <c r="J88" s="86"/>
    </row>
    <row r="89" spans="1:10" x14ac:dyDescent="0.2">
      <c r="A89" s="4">
        <f>IF(F89&lt;&gt;"",1+MAX($A$6:A88),"")</f>
        <v>62</v>
      </c>
      <c r="B89" s="168" t="s">
        <v>59</v>
      </c>
      <c r="C89" s="168"/>
      <c r="D89" s="170"/>
      <c r="E89" s="169" t="s">
        <v>117</v>
      </c>
      <c r="F89" s="180">
        <f>33*4*0.5*6.6+40*4*0.5*6.6+297.1*6.6+102.5*6.6+(7*0.5*6.6)</f>
        <v>3624.06</v>
      </c>
      <c r="G89" s="172" t="s">
        <v>210</v>
      </c>
      <c r="H89" s="105">
        <v>0</v>
      </c>
      <c r="I89" s="88">
        <f t="shared" si="3"/>
        <v>0</v>
      </c>
      <c r="J89" s="86"/>
    </row>
    <row r="90" spans="1:10" x14ac:dyDescent="0.2">
      <c r="A90" s="4">
        <f>IF(F90&lt;&gt;"",1+MAX($A$6:A89),"")</f>
        <v>63</v>
      </c>
      <c r="B90" s="168" t="s">
        <v>59</v>
      </c>
      <c r="C90" s="168"/>
      <c r="D90" s="170"/>
      <c r="E90" s="169" t="s">
        <v>118</v>
      </c>
      <c r="F90" s="180">
        <f>57.6*4.9</f>
        <v>282.24</v>
      </c>
      <c r="G90" s="172" t="s">
        <v>210</v>
      </c>
      <c r="H90" s="105">
        <v>0</v>
      </c>
      <c r="I90" s="88">
        <f t="shared" si="3"/>
        <v>0</v>
      </c>
      <c r="J90" s="86"/>
    </row>
    <row r="91" spans="1:10" x14ac:dyDescent="0.2">
      <c r="A91" s="4">
        <f>IF(F91&lt;&gt;"",1+MAX($A$6:A90),"")</f>
        <v>64</v>
      </c>
      <c r="B91" s="168" t="s">
        <v>59</v>
      </c>
      <c r="C91" s="168"/>
      <c r="D91" s="170"/>
      <c r="E91" s="169" t="s">
        <v>119</v>
      </c>
      <c r="F91" s="180">
        <f>25.1*8.2</f>
        <v>205.82</v>
      </c>
      <c r="G91" s="172" t="s">
        <v>210</v>
      </c>
      <c r="H91" s="105">
        <v>0</v>
      </c>
      <c r="I91" s="88">
        <f t="shared" si="3"/>
        <v>0</v>
      </c>
      <c r="J91" s="86"/>
    </row>
    <row r="92" spans="1:10" x14ac:dyDescent="0.2">
      <c r="A92" s="4">
        <f>IF(F92&lt;&gt;"",1+MAX($A$6:A91),"")</f>
        <v>65</v>
      </c>
      <c r="B92" s="168" t="s">
        <v>59</v>
      </c>
      <c r="C92" s="168"/>
      <c r="D92" s="170"/>
      <c r="E92" s="169" t="s">
        <v>120</v>
      </c>
      <c r="F92" s="180">
        <f>48.4*12.3</f>
        <v>595.32000000000005</v>
      </c>
      <c r="G92" s="172" t="s">
        <v>210</v>
      </c>
      <c r="H92" s="105">
        <v>0</v>
      </c>
      <c r="I92" s="88">
        <f t="shared" ref="I92:I155" si="4">H92*F92</f>
        <v>0</v>
      </c>
      <c r="J92" s="86"/>
    </row>
    <row r="93" spans="1:10" x14ac:dyDescent="0.2">
      <c r="A93" s="4">
        <f>IF(F93&lt;&gt;"",1+MAX($A$6:A92),"")</f>
        <v>66</v>
      </c>
      <c r="B93" s="168" t="s">
        <v>59</v>
      </c>
      <c r="C93" s="168"/>
      <c r="D93" s="170"/>
      <c r="E93" s="169" t="s">
        <v>121</v>
      </c>
      <c r="F93" s="180">
        <f>13*0.334*2*4.7</f>
        <v>40.814800000000005</v>
      </c>
      <c r="G93" s="172" t="s">
        <v>210</v>
      </c>
      <c r="H93" s="105">
        <v>0</v>
      </c>
      <c r="I93" s="88">
        <f t="shared" si="4"/>
        <v>0</v>
      </c>
      <c r="J93" s="86"/>
    </row>
    <row r="94" spans="1:10" x14ac:dyDescent="0.2">
      <c r="A94" s="4" t="str">
        <f>IF(F94&lt;&gt;"",1+MAX($A$6:A93),"")</f>
        <v/>
      </c>
      <c r="B94" s="168"/>
      <c r="C94" s="168"/>
      <c r="D94" s="170"/>
      <c r="E94" s="169"/>
      <c r="F94" s="180"/>
      <c r="G94" s="172"/>
      <c r="H94" s="105"/>
      <c r="I94" s="88"/>
      <c r="J94" s="86"/>
    </row>
    <row r="95" spans="1:10" x14ac:dyDescent="0.2">
      <c r="A95" s="4" t="str">
        <f>IF(F95&lt;&gt;"",1+MAX($A$6:A94),"")</f>
        <v/>
      </c>
      <c r="B95" s="168"/>
      <c r="C95" s="168"/>
      <c r="D95" s="170"/>
      <c r="E95" s="179" t="s">
        <v>122</v>
      </c>
      <c r="F95" s="180"/>
      <c r="G95" s="172"/>
      <c r="H95" s="105"/>
      <c r="I95" s="88"/>
      <c r="J95" s="86"/>
    </row>
    <row r="96" spans="1:10" x14ac:dyDescent="0.2">
      <c r="A96" s="4">
        <f>IF(F96&lt;&gt;"",1+MAX($A$6:A95),"")</f>
        <v>67</v>
      </c>
      <c r="B96" s="168" t="s">
        <v>59</v>
      </c>
      <c r="C96" s="168" t="s">
        <v>123</v>
      </c>
      <c r="D96" s="170"/>
      <c r="E96" s="169" t="s">
        <v>124</v>
      </c>
      <c r="F96" s="180">
        <f>1284.6+15804.2</f>
        <v>17088.8</v>
      </c>
      <c r="G96" s="172" t="s">
        <v>17</v>
      </c>
      <c r="H96" s="105">
        <v>0</v>
      </c>
      <c r="I96" s="88">
        <f t="shared" si="4"/>
        <v>0</v>
      </c>
      <c r="J96" s="86"/>
    </row>
    <row r="97" spans="1:10" x14ac:dyDescent="0.2">
      <c r="A97" s="4">
        <f>IF(F97&lt;&gt;"",1+MAX($A$6:A96),"")</f>
        <v>68</v>
      </c>
      <c r="B97" s="168" t="s">
        <v>59</v>
      </c>
      <c r="C97" s="168" t="s">
        <v>125</v>
      </c>
      <c r="D97" s="170"/>
      <c r="E97" s="169" t="s">
        <v>126</v>
      </c>
      <c r="F97" s="180">
        <v>1758</v>
      </c>
      <c r="G97" s="172" t="s">
        <v>17</v>
      </c>
      <c r="H97" s="105">
        <v>0</v>
      </c>
      <c r="I97" s="88">
        <f t="shared" si="4"/>
        <v>0</v>
      </c>
      <c r="J97" s="86"/>
    </row>
    <row r="98" spans="1:10" ht="16.5" thickBot="1" x14ac:dyDescent="0.25">
      <c r="A98" s="4" t="str">
        <f>IF(F98&lt;&gt;"",1+MAX($A$6:A97),"")</f>
        <v/>
      </c>
      <c r="B98" s="168"/>
      <c r="C98" s="168"/>
      <c r="D98" s="168"/>
      <c r="E98" s="169"/>
      <c r="F98" s="180"/>
      <c r="G98" s="172"/>
      <c r="H98" s="105"/>
      <c r="I98" s="88"/>
      <c r="J98" s="86"/>
    </row>
    <row r="99" spans="1:10" ht="16.5" thickBot="1" x14ac:dyDescent="0.25">
      <c r="A99" s="4" t="str">
        <f>IF(F99&lt;&gt;"",1+MAX($A$6:A98),"")</f>
        <v/>
      </c>
      <c r="B99" s="182"/>
      <c r="C99" s="167"/>
      <c r="D99" s="183"/>
      <c r="E99" s="177" t="s">
        <v>127</v>
      </c>
      <c r="F99" s="178"/>
      <c r="G99" s="185"/>
      <c r="H99" s="105"/>
      <c r="I99" s="88"/>
      <c r="J99" s="86"/>
    </row>
    <row r="100" spans="1:10" x14ac:dyDescent="0.2">
      <c r="A100" s="4" t="str">
        <f>IF(F100&lt;&gt;"",1+MAX($A$6:A99),"")</f>
        <v/>
      </c>
      <c r="B100" s="168"/>
      <c r="C100" s="168"/>
      <c r="D100" s="170"/>
      <c r="E100" s="179" t="s">
        <v>58</v>
      </c>
      <c r="F100" s="180"/>
      <c r="G100" s="172"/>
      <c r="H100" s="105"/>
      <c r="I100" s="88"/>
      <c r="J100" s="86"/>
    </row>
    <row r="101" spans="1:10" ht="47.25" x14ac:dyDescent="0.2">
      <c r="A101" s="4">
        <f>IF(F101&lt;&gt;"",1+MAX($A$6:A100),"")</f>
        <v>69</v>
      </c>
      <c r="B101" s="168" t="s">
        <v>59</v>
      </c>
      <c r="C101" s="168" t="s">
        <v>60</v>
      </c>
      <c r="D101" s="170"/>
      <c r="E101" s="169" t="s">
        <v>128</v>
      </c>
      <c r="F101" s="180">
        <f>(1*13+1*20.42)*27.48</f>
        <v>918.38160000000005</v>
      </c>
      <c r="G101" s="172" t="s">
        <v>210</v>
      </c>
      <c r="H101" s="105">
        <v>0</v>
      </c>
      <c r="I101" s="88">
        <f t="shared" si="4"/>
        <v>0</v>
      </c>
      <c r="J101" s="86"/>
    </row>
    <row r="102" spans="1:10" ht="47.25" x14ac:dyDescent="0.2">
      <c r="A102" s="4">
        <f>IF(F102&lt;&gt;"",1+MAX($A$6:A101),"")</f>
        <v>70</v>
      </c>
      <c r="B102" s="168" t="s">
        <v>59</v>
      </c>
      <c r="C102" s="168" t="s">
        <v>60</v>
      </c>
      <c r="D102" s="181"/>
      <c r="E102" s="169" t="s">
        <v>129</v>
      </c>
      <c r="F102" s="180">
        <f>(4*13)*50.81</f>
        <v>2642.12</v>
      </c>
      <c r="G102" s="172" t="s">
        <v>210</v>
      </c>
      <c r="H102" s="105">
        <v>0</v>
      </c>
      <c r="I102" s="88">
        <f t="shared" si="4"/>
        <v>0</v>
      </c>
      <c r="J102" s="86"/>
    </row>
    <row r="103" spans="1:10" ht="47.25" x14ac:dyDescent="0.2">
      <c r="A103" s="4">
        <f>IF(F103&lt;&gt;"",1+MAX($A$6:A102),"")</f>
        <v>71</v>
      </c>
      <c r="B103" s="168" t="s">
        <v>59</v>
      </c>
      <c r="C103" s="168" t="s">
        <v>60</v>
      </c>
      <c r="D103" s="181"/>
      <c r="E103" s="169" t="s">
        <v>130</v>
      </c>
      <c r="F103" s="180">
        <f>(3*19)*76.07</f>
        <v>4335.99</v>
      </c>
      <c r="G103" s="172" t="s">
        <v>210</v>
      </c>
      <c r="H103" s="105">
        <v>0</v>
      </c>
      <c r="I103" s="88">
        <f t="shared" si="4"/>
        <v>0</v>
      </c>
      <c r="J103" s="86"/>
    </row>
    <row r="104" spans="1:10" ht="47.25" x14ac:dyDescent="0.2">
      <c r="A104" s="4">
        <f>IF(F104&lt;&gt;"",1+MAX($A$6:A103),"")</f>
        <v>72</v>
      </c>
      <c r="B104" s="168" t="s">
        <v>59</v>
      </c>
      <c r="C104" s="168" t="s">
        <v>60</v>
      </c>
      <c r="D104" s="181"/>
      <c r="E104" s="169" t="s">
        <v>131</v>
      </c>
      <c r="F104" s="180">
        <f>(2*19*72)</f>
        <v>2736</v>
      </c>
      <c r="G104" s="172" t="s">
        <v>210</v>
      </c>
      <c r="H104" s="105">
        <v>0</v>
      </c>
      <c r="I104" s="88">
        <f t="shared" si="4"/>
        <v>0</v>
      </c>
      <c r="J104" s="86"/>
    </row>
    <row r="105" spans="1:10" ht="47.25" x14ac:dyDescent="0.2">
      <c r="A105" s="4">
        <f>IF(F105&lt;&gt;"",1+MAX($A$6:A104),"")</f>
        <v>73</v>
      </c>
      <c r="B105" s="168" t="s">
        <v>59</v>
      </c>
      <c r="C105" s="168" t="s">
        <v>60</v>
      </c>
      <c r="D105" s="181"/>
      <c r="E105" s="169" t="s">
        <v>132</v>
      </c>
      <c r="F105" s="180">
        <f>2*19*62.46</f>
        <v>2373.48</v>
      </c>
      <c r="G105" s="172" t="s">
        <v>210</v>
      </c>
      <c r="H105" s="105">
        <v>0</v>
      </c>
      <c r="I105" s="88">
        <f t="shared" si="4"/>
        <v>0</v>
      </c>
      <c r="J105" s="86"/>
    </row>
    <row r="106" spans="1:10" ht="47.25" x14ac:dyDescent="0.2">
      <c r="A106" s="4">
        <f>IF(F106&lt;&gt;"",1+MAX($A$6:A105),"")</f>
        <v>74</v>
      </c>
      <c r="B106" s="168" t="s">
        <v>59</v>
      </c>
      <c r="C106" s="168" t="s">
        <v>60</v>
      </c>
      <c r="D106" s="181"/>
      <c r="E106" s="169" t="s">
        <v>133</v>
      </c>
      <c r="F106" s="180">
        <f>1*20.42*25.82</f>
        <v>527.24440000000004</v>
      </c>
      <c r="G106" s="172" t="s">
        <v>210</v>
      </c>
      <c r="H106" s="105">
        <v>0</v>
      </c>
      <c r="I106" s="88">
        <f t="shared" si="4"/>
        <v>0</v>
      </c>
      <c r="J106" s="86"/>
    </row>
    <row r="107" spans="1:10" ht="47.25" x14ac:dyDescent="0.2">
      <c r="A107" s="4">
        <f>IF(F107&lt;&gt;"",1+MAX($A$6:A106),"")</f>
        <v>75</v>
      </c>
      <c r="B107" s="168" t="s">
        <v>59</v>
      </c>
      <c r="C107" s="168" t="s">
        <v>60</v>
      </c>
      <c r="D107" s="181"/>
      <c r="E107" s="171" t="s">
        <v>134</v>
      </c>
      <c r="F107" s="180">
        <f>2*20.42*39.43</f>
        <v>1610.3212000000001</v>
      </c>
      <c r="G107" s="172" t="s">
        <v>210</v>
      </c>
      <c r="H107" s="105">
        <v>0</v>
      </c>
      <c r="I107" s="88">
        <f t="shared" si="4"/>
        <v>0</v>
      </c>
      <c r="J107" s="86"/>
    </row>
    <row r="108" spans="1:10" ht="47.25" x14ac:dyDescent="0.2">
      <c r="A108" s="4">
        <f>IF(F108&lt;&gt;"",1+MAX($A$6:A107),"")</f>
        <v>76</v>
      </c>
      <c r="B108" s="168" t="s">
        <v>59</v>
      </c>
      <c r="C108" s="168" t="s">
        <v>60</v>
      </c>
      <c r="D108" s="181"/>
      <c r="E108" s="169" t="s">
        <v>135</v>
      </c>
      <c r="F108" s="180">
        <f>1*13*27.48</f>
        <v>357.24</v>
      </c>
      <c r="G108" s="172" t="s">
        <v>210</v>
      </c>
      <c r="H108" s="105">
        <v>0</v>
      </c>
      <c r="I108" s="88">
        <f t="shared" si="4"/>
        <v>0</v>
      </c>
      <c r="J108" s="86"/>
    </row>
    <row r="109" spans="1:10" ht="47.25" x14ac:dyDescent="0.2">
      <c r="A109" s="4">
        <f>IF(F109&lt;&gt;"",1+MAX($A$6:A108),"")</f>
        <v>77</v>
      </c>
      <c r="B109" s="168" t="s">
        <v>59</v>
      </c>
      <c r="C109" s="168" t="s">
        <v>60</v>
      </c>
      <c r="D109" s="181"/>
      <c r="E109" s="169" t="s">
        <v>136</v>
      </c>
      <c r="F109" s="180">
        <f>4*18*37.69</f>
        <v>2713.68</v>
      </c>
      <c r="G109" s="172" t="s">
        <v>210</v>
      </c>
      <c r="H109" s="105">
        <v>0</v>
      </c>
      <c r="I109" s="88">
        <f t="shared" si="4"/>
        <v>0</v>
      </c>
      <c r="J109" s="86"/>
    </row>
    <row r="110" spans="1:10" ht="47.25" x14ac:dyDescent="0.2">
      <c r="A110" s="4">
        <f>IF(F110&lt;&gt;"",1+MAX($A$6:A109),"")</f>
        <v>78</v>
      </c>
      <c r="B110" s="168" t="s">
        <v>59</v>
      </c>
      <c r="C110" s="168" t="s">
        <v>60</v>
      </c>
      <c r="D110" s="181"/>
      <c r="E110" s="169" t="s">
        <v>137</v>
      </c>
      <c r="F110" s="180">
        <f>23*9.5*27.48</f>
        <v>6004.38</v>
      </c>
      <c r="G110" s="172" t="s">
        <v>210</v>
      </c>
      <c r="H110" s="105">
        <v>0</v>
      </c>
      <c r="I110" s="88">
        <f t="shared" si="4"/>
        <v>0</v>
      </c>
      <c r="J110" s="86"/>
    </row>
    <row r="111" spans="1:10" x14ac:dyDescent="0.2">
      <c r="A111" s="4" t="str">
        <f>IF(F111&lt;&gt;"",1+MAX($A$6:A110),"")</f>
        <v/>
      </c>
      <c r="B111" s="168"/>
      <c r="C111" s="168"/>
      <c r="D111" s="181"/>
      <c r="E111" s="169"/>
      <c r="F111" s="180"/>
      <c r="G111" s="172"/>
      <c r="H111" s="105"/>
      <c r="I111" s="88"/>
      <c r="J111" s="86"/>
    </row>
    <row r="112" spans="1:10" x14ac:dyDescent="0.2">
      <c r="A112" s="4" t="str">
        <f>IF(F112&lt;&gt;"",1+MAX($A$6:A111),"")</f>
        <v/>
      </c>
      <c r="B112" s="168"/>
      <c r="C112" s="168"/>
      <c r="D112" s="170"/>
      <c r="E112" s="179" t="s">
        <v>138</v>
      </c>
      <c r="F112" s="180"/>
      <c r="G112" s="172"/>
      <c r="H112" s="105"/>
      <c r="I112" s="88"/>
      <c r="J112" s="86"/>
    </row>
    <row r="113" spans="1:10" x14ac:dyDescent="0.2">
      <c r="A113" s="4">
        <f>IF(F113&lt;&gt;"",1+MAX($A$6:A112),"")</f>
        <v>79</v>
      </c>
      <c r="B113" s="168" t="s">
        <v>59</v>
      </c>
      <c r="C113" s="168"/>
      <c r="D113" s="170"/>
      <c r="E113" s="169" t="s">
        <v>85</v>
      </c>
      <c r="F113" s="180">
        <f>9+11+17+16</f>
        <v>53</v>
      </c>
      <c r="G113" s="172" t="s">
        <v>211</v>
      </c>
      <c r="H113" s="105">
        <v>0</v>
      </c>
      <c r="I113" s="88">
        <f t="shared" si="4"/>
        <v>0</v>
      </c>
      <c r="J113" s="86"/>
    </row>
    <row r="114" spans="1:10" x14ac:dyDescent="0.2">
      <c r="A114" s="4">
        <f>IF(F114&lt;&gt;"",1+MAX($A$6:A113),"")</f>
        <v>80</v>
      </c>
      <c r="B114" s="168" t="s">
        <v>59</v>
      </c>
      <c r="C114" s="168"/>
      <c r="D114" s="170"/>
      <c r="E114" s="169" t="s">
        <v>86</v>
      </c>
      <c r="F114" s="180">
        <v>23</v>
      </c>
      <c r="G114" s="172" t="s">
        <v>211</v>
      </c>
      <c r="H114" s="105">
        <v>0</v>
      </c>
      <c r="I114" s="88">
        <f t="shared" si="4"/>
        <v>0</v>
      </c>
      <c r="J114" s="86"/>
    </row>
    <row r="115" spans="1:10" x14ac:dyDescent="0.2">
      <c r="A115" s="4">
        <f>IF(F115&lt;&gt;"",1+MAX($A$6:A114),"")</f>
        <v>81</v>
      </c>
      <c r="B115" s="168" t="s">
        <v>59</v>
      </c>
      <c r="C115" s="168"/>
      <c r="D115" s="170"/>
      <c r="E115" s="169" t="s">
        <v>139</v>
      </c>
      <c r="F115" s="180">
        <f>(692.5+58.1)/4+1</f>
        <v>188.65</v>
      </c>
      <c r="G115" s="172" t="s">
        <v>211</v>
      </c>
      <c r="H115" s="105">
        <v>0</v>
      </c>
      <c r="I115" s="88">
        <f t="shared" si="4"/>
        <v>0</v>
      </c>
      <c r="J115" s="86"/>
    </row>
    <row r="116" spans="1:10" x14ac:dyDescent="0.2">
      <c r="A116" s="4">
        <f>IF(F116&lt;&gt;"",1+MAX($A$6:A115),"")</f>
        <v>82</v>
      </c>
      <c r="B116" s="168" t="s">
        <v>59</v>
      </c>
      <c r="C116" s="168"/>
      <c r="D116" s="170"/>
      <c r="E116" s="169" t="s">
        <v>87</v>
      </c>
      <c r="F116" s="180">
        <f>((503)/4+1)+27</f>
        <v>153.75</v>
      </c>
      <c r="G116" s="172" t="s">
        <v>211</v>
      </c>
      <c r="H116" s="105">
        <v>0</v>
      </c>
      <c r="I116" s="88">
        <f t="shared" si="4"/>
        <v>0</v>
      </c>
      <c r="J116" s="86"/>
    </row>
    <row r="117" spans="1:10" x14ac:dyDescent="0.2">
      <c r="A117" s="4">
        <f>IF(F117&lt;&gt;"",1+MAX($A$6:A116),"")</f>
        <v>83</v>
      </c>
      <c r="B117" s="168" t="s">
        <v>59</v>
      </c>
      <c r="C117" s="168"/>
      <c r="D117" s="170"/>
      <c r="E117" s="171" t="s">
        <v>90</v>
      </c>
      <c r="F117" s="180">
        <f>(1030*2+427.2*2+3415.9*2)/4+1</f>
        <v>2437.5500000000002</v>
      </c>
      <c r="G117" s="172" t="s">
        <v>211</v>
      </c>
      <c r="H117" s="105">
        <v>0</v>
      </c>
      <c r="I117" s="88">
        <f t="shared" si="4"/>
        <v>0</v>
      </c>
      <c r="J117" s="86"/>
    </row>
    <row r="118" spans="1:10" x14ac:dyDescent="0.2">
      <c r="A118" s="4">
        <f>IF(F118&lt;&gt;"",1+MAX($A$6:A117),"")</f>
        <v>84</v>
      </c>
      <c r="B118" s="168" t="s">
        <v>59</v>
      </c>
      <c r="C118" s="168"/>
      <c r="D118" s="170"/>
      <c r="E118" s="169" t="s">
        <v>89</v>
      </c>
      <c r="F118" s="180">
        <f>140.7+101.8</f>
        <v>242.5</v>
      </c>
      <c r="G118" s="172" t="s">
        <v>18</v>
      </c>
      <c r="H118" s="105">
        <v>0</v>
      </c>
      <c r="I118" s="88">
        <f t="shared" si="4"/>
        <v>0</v>
      </c>
      <c r="J118" s="86"/>
    </row>
    <row r="119" spans="1:10" x14ac:dyDescent="0.2">
      <c r="A119" s="4">
        <f>IF(F119&lt;&gt;"",1+MAX($A$6:A118),"")</f>
        <v>85</v>
      </c>
      <c r="B119" s="168" t="s">
        <v>59</v>
      </c>
      <c r="C119" s="168"/>
      <c r="D119" s="170"/>
      <c r="E119" s="169" t="s">
        <v>140</v>
      </c>
      <c r="F119" s="180">
        <f>692.5+58.1</f>
        <v>750.6</v>
      </c>
      <c r="G119" s="172" t="s">
        <v>18</v>
      </c>
      <c r="H119" s="105">
        <v>0</v>
      </c>
      <c r="I119" s="88">
        <f t="shared" si="4"/>
        <v>0</v>
      </c>
      <c r="J119" s="86"/>
    </row>
    <row r="120" spans="1:10" x14ac:dyDescent="0.2">
      <c r="A120" s="4">
        <f>IF(F120&lt;&gt;"",1+MAX($A$6:A119),"")</f>
        <v>86</v>
      </c>
      <c r="B120" s="168" t="s">
        <v>59</v>
      </c>
      <c r="C120" s="168"/>
      <c r="D120" s="170"/>
      <c r="E120" s="169" t="s">
        <v>141</v>
      </c>
      <c r="F120" s="180">
        <v>628.29999999999995</v>
      </c>
      <c r="G120" s="172" t="s">
        <v>18</v>
      </c>
      <c r="H120" s="105">
        <v>0</v>
      </c>
      <c r="I120" s="88">
        <f t="shared" si="4"/>
        <v>0</v>
      </c>
      <c r="J120" s="86"/>
    </row>
    <row r="121" spans="1:10" x14ac:dyDescent="0.2">
      <c r="A121" s="4">
        <f>IF(F121&lt;&gt;"",1+MAX($A$6:A120),"")</f>
        <v>87</v>
      </c>
      <c r="B121" s="168" t="s">
        <v>59</v>
      </c>
      <c r="C121" s="168"/>
      <c r="D121" s="170"/>
      <c r="E121" s="169" t="s">
        <v>142</v>
      </c>
      <c r="F121" s="180">
        <f>628.3+384.4</f>
        <v>1012.6999999999999</v>
      </c>
      <c r="G121" s="172" t="s">
        <v>18</v>
      </c>
      <c r="H121" s="105">
        <v>0</v>
      </c>
      <c r="I121" s="88">
        <f t="shared" si="4"/>
        <v>0</v>
      </c>
      <c r="J121" s="86"/>
    </row>
    <row r="122" spans="1:10" x14ac:dyDescent="0.2">
      <c r="A122" s="4">
        <f>IF(F122&lt;&gt;"",1+MAX($A$6:A121),"")</f>
        <v>88</v>
      </c>
      <c r="B122" s="168" t="s">
        <v>59</v>
      </c>
      <c r="C122" s="168" t="s">
        <v>143</v>
      </c>
      <c r="D122" s="170"/>
      <c r="E122" s="169" t="s">
        <v>142</v>
      </c>
      <c r="F122" s="180">
        <f>(399.1*2+1674.7)</f>
        <v>2472.9</v>
      </c>
      <c r="G122" s="172" t="s">
        <v>18</v>
      </c>
      <c r="H122" s="105">
        <v>0</v>
      </c>
      <c r="I122" s="88">
        <f t="shared" si="4"/>
        <v>0</v>
      </c>
      <c r="J122" s="86"/>
    </row>
    <row r="123" spans="1:10" x14ac:dyDescent="0.2">
      <c r="A123" s="4">
        <f>IF(F123&lt;&gt;"",1+MAX($A$6:A122),"")</f>
        <v>89</v>
      </c>
      <c r="B123" s="168" t="s">
        <v>59</v>
      </c>
      <c r="C123" s="168" t="s">
        <v>143</v>
      </c>
      <c r="D123" s="170"/>
      <c r="E123" s="169" t="s">
        <v>144</v>
      </c>
      <c r="F123" s="180">
        <f>(399.1+478*2)*0.334</f>
        <v>452.60340000000002</v>
      </c>
      <c r="G123" s="172" t="s">
        <v>18</v>
      </c>
      <c r="H123" s="105">
        <v>0</v>
      </c>
      <c r="I123" s="88">
        <f t="shared" si="4"/>
        <v>0</v>
      </c>
      <c r="J123" s="86"/>
    </row>
    <row r="124" spans="1:10" x14ac:dyDescent="0.2">
      <c r="A124" s="4" t="str">
        <f>IF(F124&lt;&gt;"",1+MAX($A$6:A123),"")</f>
        <v/>
      </c>
      <c r="B124" s="168"/>
      <c r="C124" s="168"/>
      <c r="D124" s="170"/>
      <c r="E124" s="169"/>
      <c r="F124" s="180"/>
      <c r="G124" s="172"/>
      <c r="H124" s="105"/>
      <c r="I124" s="88"/>
      <c r="J124" s="86"/>
    </row>
    <row r="125" spans="1:10" x14ac:dyDescent="0.2">
      <c r="A125" s="4" t="str">
        <f>IF(F125&lt;&gt;"",1+MAX($A$6:A124),"")</f>
        <v/>
      </c>
      <c r="B125" s="168"/>
      <c r="C125" s="168"/>
      <c r="D125" s="181"/>
      <c r="E125" s="169"/>
      <c r="F125" s="180"/>
      <c r="G125" s="172"/>
      <c r="H125" s="105"/>
      <c r="I125" s="88"/>
      <c r="J125" s="86"/>
    </row>
    <row r="126" spans="1:10" x14ac:dyDescent="0.2">
      <c r="A126" s="4" t="str">
        <f>IF(F126&lt;&gt;"",1+MAX($A$6:A125),"")</f>
        <v/>
      </c>
      <c r="B126" s="168"/>
      <c r="C126" s="168"/>
      <c r="D126" s="170"/>
      <c r="E126" s="179" t="s">
        <v>55</v>
      </c>
      <c r="F126" s="180"/>
      <c r="G126" s="172"/>
      <c r="H126" s="105"/>
      <c r="I126" s="88"/>
      <c r="J126" s="86"/>
    </row>
    <row r="127" spans="1:10" x14ac:dyDescent="0.2">
      <c r="A127" s="4">
        <f>IF(F127&lt;&gt;"",1+MAX($A$6:A126),"")</f>
        <v>90</v>
      </c>
      <c r="B127" s="168" t="s">
        <v>59</v>
      </c>
      <c r="C127" s="168"/>
      <c r="D127" s="170"/>
      <c r="E127" s="169" t="s">
        <v>145</v>
      </c>
      <c r="F127" s="180">
        <f>(6*2+1*6)*9.8</f>
        <v>176.4</v>
      </c>
      <c r="G127" s="172" t="s">
        <v>210</v>
      </c>
      <c r="H127" s="105">
        <v>0</v>
      </c>
      <c r="I127" s="88">
        <f t="shared" si="4"/>
        <v>0</v>
      </c>
      <c r="J127" s="86"/>
    </row>
    <row r="128" spans="1:10" x14ac:dyDescent="0.2">
      <c r="A128" s="4">
        <f>IF(F128&lt;&gt;"",1+MAX($A$6:A127),"")</f>
        <v>91</v>
      </c>
      <c r="B128" s="168" t="s">
        <v>59</v>
      </c>
      <c r="C128" s="168"/>
      <c r="D128" s="170"/>
      <c r="E128" s="169" t="s">
        <v>146</v>
      </c>
      <c r="F128" s="180">
        <f>16*4*0.5*28.7</f>
        <v>918.4</v>
      </c>
      <c r="G128" s="172" t="s">
        <v>210</v>
      </c>
      <c r="H128" s="105">
        <v>0</v>
      </c>
      <c r="I128" s="88">
        <f t="shared" si="4"/>
        <v>0</v>
      </c>
      <c r="J128" s="86"/>
    </row>
    <row r="129" spans="1:10" x14ac:dyDescent="0.2">
      <c r="A129" s="4">
        <f>IF(F129&lt;&gt;"",1+MAX($A$6:A128),"")</f>
        <v>92</v>
      </c>
      <c r="B129" s="168" t="s">
        <v>59</v>
      </c>
      <c r="C129" s="168"/>
      <c r="D129" s="170"/>
      <c r="E129" s="169" t="s">
        <v>117</v>
      </c>
      <c r="F129" s="180">
        <f>13*4*0.5*6.6</f>
        <v>171.6</v>
      </c>
      <c r="G129" s="172" t="s">
        <v>210</v>
      </c>
      <c r="H129" s="105">
        <v>0</v>
      </c>
      <c r="I129" s="88">
        <f t="shared" si="4"/>
        <v>0</v>
      </c>
      <c r="J129" s="86"/>
    </row>
    <row r="130" spans="1:10" x14ac:dyDescent="0.2">
      <c r="A130" s="4">
        <f>IF(F130&lt;&gt;"",1+MAX($A$6:A129),"")</f>
        <v>93</v>
      </c>
      <c r="B130" s="168" t="s">
        <v>59</v>
      </c>
      <c r="C130" s="168"/>
      <c r="D130" s="170"/>
      <c r="E130" s="169" t="s">
        <v>147</v>
      </c>
      <c r="F130" s="180">
        <f>427.2*2*5.8</f>
        <v>4955.5199999999995</v>
      </c>
      <c r="G130" s="172" t="s">
        <v>210</v>
      </c>
      <c r="H130" s="105">
        <v>0</v>
      </c>
      <c r="I130" s="88">
        <f t="shared" si="4"/>
        <v>0</v>
      </c>
      <c r="J130" s="86"/>
    </row>
    <row r="131" spans="1:10" x14ac:dyDescent="0.2">
      <c r="A131" s="4">
        <f>IF(F131&lt;&gt;"",1+MAX($A$6:A130),"")</f>
        <v>94</v>
      </c>
      <c r="B131" s="168" t="s">
        <v>59</v>
      </c>
      <c r="C131" s="168"/>
      <c r="D131" s="170"/>
      <c r="E131" s="169" t="s">
        <v>117</v>
      </c>
      <c r="F131" s="180">
        <f>(4*10+8*7+1*10+1*10+4*3)*6.6</f>
        <v>844.8</v>
      </c>
      <c r="G131" s="172" t="s">
        <v>210</v>
      </c>
      <c r="H131" s="105">
        <v>0</v>
      </c>
      <c r="I131" s="88">
        <f t="shared" si="4"/>
        <v>0</v>
      </c>
      <c r="J131" s="86"/>
    </row>
    <row r="132" spans="1:10" x14ac:dyDescent="0.2">
      <c r="A132" s="4">
        <f>IF(F132&lt;&gt;"",1+MAX($A$6:A131),"")</f>
        <v>95</v>
      </c>
      <c r="B132" s="168" t="s">
        <v>59</v>
      </c>
      <c r="C132" s="168"/>
      <c r="D132" s="170"/>
      <c r="E132" s="169" t="s">
        <v>118</v>
      </c>
      <c r="F132" s="180">
        <f>40.1*4.9</f>
        <v>196.49</v>
      </c>
      <c r="G132" s="172" t="s">
        <v>210</v>
      </c>
      <c r="H132" s="105">
        <v>0</v>
      </c>
      <c r="I132" s="88">
        <f t="shared" si="4"/>
        <v>0</v>
      </c>
      <c r="J132" s="86"/>
    </row>
    <row r="133" spans="1:10" x14ac:dyDescent="0.2">
      <c r="A133" s="4">
        <f>IF(F133&lt;&gt;"",1+MAX($A$6:A132),"")</f>
        <v>96</v>
      </c>
      <c r="B133" s="168" t="s">
        <v>59</v>
      </c>
      <c r="C133" s="168"/>
      <c r="D133" s="170"/>
      <c r="E133" s="169" t="s">
        <v>119</v>
      </c>
      <c r="F133" s="180">
        <f>35.4*8.2</f>
        <v>290.27999999999997</v>
      </c>
      <c r="G133" s="172" t="s">
        <v>210</v>
      </c>
      <c r="H133" s="105">
        <v>0</v>
      </c>
      <c r="I133" s="88">
        <f t="shared" si="4"/>
        <v>0</v>
      </c>
      <c r="J133" s="86"/>
    </row>
    <row r="134" spans="1:10" x14ac:dyDescent="0.2">
      <c r="A134" s="4">
        <f>IF(F134&lt;&gt;"",1+MAX($A$6:A133),"")</f>
        <v>97</v>
      </c>
      <c r="B134" s="168" t="s">
        <v>59</v>
      </c>
      <c r="C134" s="168"/>
      <c r="D134" s="170"/>
      <c r="E134" s="169" t="s">
        <v>120</v>
      </c>
      <c r="F134" s="180">
        <f>94*12.3</f>
        <v>1156.2</v>
      </c>
      <c r="G134" s="172" t="s">
        <v>210</v>
      </c>
      <c r="H134" s="105">
        <v>0</v>
      </c>
      <c r="I134" s="88">
        <f t="shared" si="4"/>
        <v>0</v>
      </c>
      <c r="J134" s="86"/>
    </row>
    <row r="135" spans="1:10" x14ac:dyDescent="0.2">
      <c r="A135" s="4" t="str">
        <f>IF(F135&lt;&gt;"",1+MAX($A$6:A134),"")</f>
        <v/>
      </c>
      <c r="B135" s="168"/>
      <c r="C135" s="168"/>
      <c r="D135" s="181"/>
      <c r="E135" s="169"/>
      <c r="F135" s="180"/>
      <c r="G135" s="172"/>
      <c r="H135" s="105"/>
      <c r="I135" s="88"/>
      <c r="J135" s="86"/>
    </row>
    <row r="136" spans="1:10" x14ac:dyDescent="0.2">
      <c r="A136" s="4" t="str">
        <f>IF(F136&lt;&gt;"",1+MAX($A$6:A135),"")</f>
        <v/>
      </c>
      <c r="B136" s="168"/>
      <c r="C136" s="168"/>
      <c r="D136" s="170"/>
      <c r="E136" s="179" t="s">
        <v>115</v>
      </c>
      <c r="F136" s="180"/>
      <c r="G136" s="172"/>
      <c r="H136" s="105"/>
      <c r="I136" s="88"/>
      <c r="J136" s="86"/>
    </row>
    <row r="137" spans="1:10" x14ac:dyDescent="0.2">
      <c r="A137" s="4">
        <f>IF(F137&lt;&gt;"",1+MAX($A$6:A136),"")</f>
        <v>98</v>
      </c>
      <c r="B137" s="168" t="s">
        <v>59</v>
      </c>
      <c r="C137" s="168"/>
      <c r="D137" s="170"/>
      <c r="E137" s="169" t="s">
        <v>116</v>
      </c>
      <c r="F137" s="180">
        <f>18.6*2*20</f>
        <v>744</v>
      </c>
      <c r="G137" s="172" t="s">
        <v>210</v>
      </c>
      <c r="H137" s="105">
        <v>0</v>
      </c>
      <c r="I137" s="88">
        <f t="shared" si="4"/>
        <v>0</v>
      </c>
      <c r="J137" s="86"/>
    </row>
    <row r="138" spans="1:10" x14ac:dyDescent="0.2">
      <c r="A138" s="4">
        <f>IF(F138&lt;&gt;"",1+MAX($A$6:A137),"")</f>
        <v>99</v>
      </c>
      <c r="B138" s="168" t="s">
        <v>59</v>
      </c>
      <c r="C138" s="168"/>
      <c r="D138" s="170"/>
      <c r="E138" s="169" t="s">
        <v>148</v>
      </c>
      <c r="F138" s="180">
        <f>(10*4+8*13+1*17+1*22.67+4*3)*8.2</f>
        <v>1604.4939999999999</v>
      </c>
      <c r="G138" s="172" t="s">
        <v>210</v>
      </c>
      <c r="H138" s="105">
        <v>0</v>
      </c>
      <c r="I138" s="88">
        <f t="shared" si="4"/>
        <v>0</v>
      </c>
      <c r="J138" s="86"/>
    </row>
    <row r="139" spans="1:10" x14ac:dyDescent="0.2">
      <c r="A139" s="4" t="str">
        <f>IF(F139&lt;&gt;"",1+MAX($A$6:A138),"")</f>
        <v/>
      </c>
      <c r="B139" s="168"/>
      <c r="C139" s="168"/>
      <c r="D139" s="181"/>
      <c r="E139" s="169"/>
      <c r="F139" s="180"/>
      <c r="G139" s="172"/>
      <c r="H139" s="105"/>
      <c r="I139" s="88"/>
      <c r="J139" s="86"/>
    </row>
    <row r="140" spans="1:10" x14ac:dyDescent="0.2">
      <c r="A140" s="4" t="str">
        <f>IF(F140&lt;&gt;"",1+MAX($A$6:A139),"")</f>
        <v/>
      </c>
      <c r="B140" s="168"/>
      <c r="C140" s="168"/>
      <c r="D140" s="170"/>
      <c r="E140" s="179" t="s">
        <v>149</v>
      </c>
      <c r="F140" s="180"/>
      <c r="G140" s="172"/>
      <c r="H140" s="105"/>
      <c r="I140" s="88"/>
      <c r="J140" s="86"/>
    </row>
    <row r="141" spans="1:10" x14ac:dyDescent="0.2">
      <c r="A141" s="4">
        <f>IF(F141&lt;&gt;"",1+MAX($A$6:A140),"")</f>
        <v>100</v>
      </c>
      <c r="B141" s="168" t="s">
        <v>59</v>
      </c>
      <c r="C141" s="168"/>
      <c r="D141" s="170"/>
      <c r="E141" s="169" t="s">
        <v>150</v>
      </c>
      <c r="F141" s="180">
        <f>23.1*19.02</f>
        <v>439.36200000000002</v>
      </c>
      <c r="G141" s="172" t="s">
        <v>210</v>
      </c>
      <c r="H141" s="105">
        <v>0</v>
      </c>
      <c r="I141" s="88">
        <f t="shared" si="4"/>
        <v>0</v>
      </c>
      <c r="J141" s="86"/>
    </row>
    <row r="142" spans="1:10" x14ac:dyDescent="0.2">
      <c r="A142" s="4">
        <f>IF(F142&lt;&gt;"",1+MAX($A$6:A141),"")</f>
        <v>101</v>
      </c>
      <c r="B142" s="168" t="s">
        <v>59</v>
      </c>
      <c r="C142" s="168"/>
      <c r="D142" s="170"/>
      <c r="E142" s="171" t="s">
        <v>92</v>
      </c>
      <c r="F142" s="180">
        <f>74.1*42.79</f>
        <v>3170.7389999999996</v>
      </c>
      <c r="G142" s="172" t="s">
        <v>210</v>
      </c>
      <c r="H142" s="105">
        <v>0</v>
      </c>
      <c r="I142" s="88">
        <f t="shared" si="4"/>
        <v>0</v>
      </c>
      <c r="J142" s="86"/>
    </row>
    <row r="143" spans="1:10" x14ac:dyDescent="0.2">
      <c r="A143" s="4">
        <f>IF(F143&lt;&gt;"",1+MAX($A$6:A142),"")</f>
        <v>102</v>
      </c>
      <c r="B143" s="168" t="s">
        <v>59</v>
      </c>
      <c r="C143" s="168"/>
      <c r="D143" s="170"/>
      <c r="E143" s="171" t="s">
        <v>151</v>
      </c>
      <c r="F143" s="180">
        <f>429*32.58</f>
        <v>13976.82</v>
      </c>
      <c r="G143" s="172" t="s">
        <v>210</v>
      </c>
      <c r="H143" s="105">
        <v>0</v>
      </c>
      <c r="I143" s="88">
        <f t="shared" si="4"/>
        <v>0</v>
      </c>
      <c r="J143" s="86"/>
    </row>
    <row r="144" spans="1:10" x14ac:dyDescent="0.2">
      <c r="A144" s="4">
        <f>IF(F144&lt;&gt;"",1+MAX($A$6:A143),"")</f>
        <v>103</v>
      </c>
      <c r="B144" s="168" t="s">
        <v>59</v>
      </c>
      <c r="C144" s="168"/>
      <c r="D144" s="170"/>
      <c r="E144" s="169" t="s">
        <v>152</v>
      </c>
      <c r="F144" s="180">
        <f>104.3*12</f>
        <v>1251.5999999999999</v>
      </c>
      <c r="G144" s="172" t="s">
        <v>210</v>
      </c>
      <c r="H144" s="105">
        <v>0</v>
      </c>
      <c r="I144" s="88">
        <f t="shared" si="4"/>
        <v>0</v>
      </c>
      <c r="J144" s="86"/>
    </row>
    <row r="145" spans="1:10" x14ac:dyDescent="0.2">
      <c r="A145" s="4">
        <f>IF(F145&lt;&gt;"",1+MAX($A$6:A144),"")</f>
        <v>104</v>
      </c>
      <c r="B145" s="168" t="s">
        <v>59</v>
      </c>
      <c r="C145" s="168"/>
      <c r="D145" s="170"/>
      <c r="E145" s="169" t="s">
        <v>97</v>
      </c>
      <c r="F145" s="180">
        <f>1388.8*19</f>
        <v>26387.200000000001</v>
      </c>
      <c r="G145" s="172" t="s">
        <v>210</v>
      </c>
      <c r="H145" s="105">
        <v>0</v>
      </c>
      <c r="I145" s="88">
        <f t="shared" si="4"/>
        <v>0</v>
      </c>
      <c r="J145" s="86"/>
    </row>
    <row r="146" spans="1:10" x14ac:dyDescent="0.2">
      <c r="A146" s="4">
        <f>IF(F146&lt;&gt;"",1+MAX($A$6:A145),"")</f>
        <v>105</v>
      </c>
      <c r="B146" s="168" t="s">
        <v>59</v>
      </c>
      <c r="C146" s="168"/>
      <c r="D146" s="170"/>
      <c r="E146" s="169" t="s">
        <v>99</v>
      </c>
      <c r="F146" s="180">
        <f>224.6*22</f>
        <v>4941.2</v>
      </c>
      <c r="G146" s="172" t="s">
        <v>210</v>
      </c>
      <c r="H146" s="105">
        <v>0</v>
      </c>
      <c r="I146" s="88">
        <f t="shared" si="4"/>
        <v>0</v>
      </c>
      <c r="J146" s="86"/>
    </row>
    <row r="147" spans="1:10" x14ac:dyDescent="0.2">
      <c r="A147" s="4">
        <f>IF(F147&lt;&gt;"",1+MAX($A$6:A146),"")</f>
        <v>106</v>
      </c>
      <c r="B147" s="168" t="s">
        <v>59</v>
      </c>
      <c r="C147" s="168"/>
      <c r="D147" s="170"/>
      <c r="E147" s="169" t="s">
        <v>100</v>
      </c>
      <c r="F147" s="180">
        <f>11.6*26</f>
        <v>301.59999999999997</v>
      </c>
      <c r="G147" s="172" t="s">
        <v>210</v>
      </c>
      <c r="H147" s="105">
        <v>0</v>
      </c>
      <c r="I147" s="88">
        <f t="shared" si="4"/>
        <v>0</v>
      </c>
      <c r="J147" s="86"/>
    </row>
    <row r="148" spans="1:10" x14ac:dyDescent="0.2">
      <c r="A148" s="4">
        <f>IF(F148&lt;&gt;"",1+MAX($A$6:A147),"")</f>
        <v>107</v>
      </c>
      <c r="B148" s="168" t="s">
        <v>59</v>
      </c>
      <c r="C148" s="168"/>
      <c r="D148" s="170"/>
      <c r="E148" s="169" t="s">
        <v>101</v>
      </c>
      <c r="F148" s="180">
        <f>313.8*26</f>
        <v>8158.8</v>
      </c>
      <c r="G148" s="172" t="s">
        <v>210</v>
      </c>
      <c r="H148" s="105">
        <v>0</v>
      </c>
      <c r="I148" s="88">
        <f t="shared" si="4"/>
        <v>0</v>
      </c>
      <c r="J148" s="86"/>
    </row>
    <row r="149" spans="1:10" x14ac:dyDescent="0.2">
      <c r="A149" s="4">
        <f>IF(F149&lt;&gt;"",1+MAX($A$6:A148),"")</f>
        <v>108</v>
      </c>
      <c r="B149" s="168" t="s">
        <v>59</v>
      </c>
      <c r="C149" s="168"/>
      <c r="D149" s="170"/>
      <c r="E149" s="169" t="s">
        <v>102</v>
      </c>
      <c r="F149" s="180">
        <f>77.6*31</f>
        <v>2405.6</v>
      </c>
      <c r="G149" s="172" t="s">
        <v>210</v>
      </c>
      <c r="H149" s="105">
        <v>0</v>
      </c>
      <c r="I149" s="88">
        <f t="shared" si="4"/>
        <v>0</v>
      </c>
      <c r="J149" s="86"/>
    </row>
    <row r="150" spans="1:10" x14ac:dyDescent="0.2">
      <c r="A150" s="4">
        <f>IF(F150&lt;&gt;"",1+MAX($A$6:A149),"")</f>
        <v>109</v>
      </c>
      <c r="B150" s="168" t="s">
        <v>59</v>
      </c>
      <c r="C150" s="168"/>
      <c r="D150" s="170"/>
      <c r="E150" s="169" t="s">
        <v>104</v>
      </c>
      <c r="F150" s="180">
        <f>389*35</f>
        <v>13615</v>
      </c>
      <c r="G150" s="172" t="s">
        <v>210</v>
      </c>
      <c r="H150" s="105">
        <v>0</v>
      </c>
      <c r="I150" s="88">
        <f t="shared" si="4"/>
        <v>0</v>
      </c>
      <c r="J150" s="86"/>
    </row>
    <row r="151" spans="1:10" x14ac:dyDescent="0.2">
      <c r="A151" s="4">
        <f>IF(F151&lt;&gt;"",1+MAX($A$6:A150),"")</f>
        <v>110</v>
      </c>
      <c r="B151" s="168" t="s">
        <v>59</v>
      </c>
      <c r="C151" s="168"/>
      <c r="D151" s="170"/>
      <c r="E151" s="169" t="s">
        <v>105</v>
      </c>
      <c r="F151" s="180">
        <f>31.7*40</f>
        <v>1268</v>
      </c>
      <c r="G151" s="172" t="s">
        <v>210</v>
      </c>
      <c r="H151" s="105">
        <v>0</v>
      </c>
      <c r="I151" s="88">
        <f t="shared" si="4"/>
        <v>0</v>
      </c>
      <c r="J151" s="86"/>
    </row>
    <row r="152" spans="1:10" x14ac:dyDescent="0.2">
      <c r="A152" s="4">
        <f>IF(F152&lt;&gt;"",1+MAX($A$6:A151),"")</f>
        <v>111</v>
      </c>
      <c r="B152" s="168" t="s">
        <v>59</v>
      </c>
      <c r="C152" s="168"/>
      <c r="D152" s="170"/>
      <c r="E152" s="169" t="s">
        <v>106</v>
      </c>
      <c r="F152" s="180">
        <f>422.6*44</f>
        <v>18594.400000000001</v>
      </c>
      <c r="G152" s="172" t="s">
        <v>210</v>
      </c>
      <c r="H152" s="105">
        <v>0</v>
      </c>
      <c r="I152" s="88">
        <f t="shared" si="4"/>
        <v>0</v>
      </c>
      <c r="J152" s="86"/>
    </row>
    <row r="153" spans="1:10" x14ac:dyDescent="0.2">
      <c r="A153" s="4">
        <f>IF(F153&lt;&gt;"",1+MAX($A$6:A152),"")</f>
        <v>112</v>
      </c>
      <c r="B153" s="168" t="s">
        <v>59</v>
      </c>
      <c r="C153" s="168"/>
      <c r="D153" s="170"/>
      <c r="E153" s="169" t="s">
        <v>107</v>
      </c>
      <c r="F153" s="180">
        <f>136.4*48</f>
        <v>6547.2000000000007</v>
      </c>
      <c r="G153" s="172" t="s">
        <v>210</v>
      </c>
      <c r="H153" s="105">
        <v>0</v>
      </c>
      <c r="I153" s="88">
        <f t="shared" si="4"/>
        <v>0</v>
      </c>
      <c r="J153" s="86"/>
    </row>
    <row r="154" spans="1:10" x14ac:dyDescent="0.2">
      <c r="A154" s="4">
        <f>IF(F154&lt;&gt;"",1+MAX($A$6:A153),"")</f>
        <v>113</v>
      </c>
      <c r="B154" s="168" t="s">
        <v>59</v>
      </c>
      <c r="C154" s="168"/>
      <c r="D154" s="170"/>
      <c r="E154" s="169" t="s">
        <v>108</v>
      </c>
      <c r="F154" s="180">
        <f>107.1*55</f>
        <v>5890.5</v>
      </c>
      <c r="G154" s="172" t="s">
        <v>210</v>
      </c>
      <c r="H154" s="105">
        <v>0</v>
      </c>
      <c r="I154" s="88">
        <f t="shared" si="4"/>
        <v>0</v>
      </c>
      <c r="J154" s="86"/>
    </row>
    <row r="155" spans="1:10" x14ac:dyDescent="0.2">
      <c r="A155" s="4">
        <f>IF(F155&lt;&gt;"",1+MAX($A$6:A154),"")</f>
        <v>114</v>
      </c>
      <c r="B155" s="168" t="s">
        <v>59</v>
      </c>
      <c r="C155" s="168"/>
      <c r="D155" s="170"/>
      <c r="E155" s="169" t="s">
        <v>153</v>
      </c>
      <c r="F155" s="180">
        <f>47.5*62</f>
        <v>2945</v>
      </c>
      <c r="G155" s="172" t="s">
        <v>210</v>
      </c>
      <c r="H155" s="105">
        <v>0</v>
      </c>
      <c r="I155" s="88">
        <f t="shared" si="4"/>
        <v>0</v>
      </c>
      <c r="J155" s="86"/>
    </row>
    <row r="156" spans="1:10" x14ac:dyDescent="0.2">
      <c r="A156" s="4">
        <f>IF(F156&lt;&gt;"",1+MAX($A$6:A155),"")</f>
        <v>115</v>
      </c>
      <c r="B156" s="168" t="s">
        <v>59</v>
      </c>
      <c r="C156" s="168"/>
      <c r="D156" s="170"/>
      <c r="E156" s="169" t="s">
        <v>109</v>
      </c>
      <c r="F156" s="180">
        <f>117.2*68</f>
        <v>7969.6</v>
      </c>
      <c r="G156" s="172" t="s">
        <v>210</v>
      </c>
      <c r="H156" s="105">
        <v>0</v>
      </c>
      <c r="I156" s="88">
        <f t="shared" ref="I156:I217" si="5">H156*F156</f>
        <v>0</v>
      </c>
      <c r="J156" s="86"/>
    </row>
    <row r="157" spans="1:10" x14ac:dyDescent="0.2">
      <c r="A157" s="4">
        <f>IF(F157&lt;&gt;"",1+MAX($A$6:A156),"")</f>
        <v>116</v>
      </c>
      <c r="B157" s="168" t="s">
        <v>59</v>
      </c>
      <c r="C157" s="168"/>
      <c r="D157" s="170"/>
      <c r="E157" s="169" t="s">
        <v>110</v>
      </c>
      <c r="F157" s="180">
        <f>44.3*76</f>
        <v>3366.7999999999997</v>
      </c>
      <c r="G157" s="172" t="s">
        <v>210</v>
      </c>
      <c r="H157" s="105">
        <v>0</v>
      </c>
      <c r="I157" s="88">
        <f t="shared" si="5"/>
        <v>0</v>
      </c>
      <c r="J157" s="86"/>
    </row>
    <row r="158" spans="1:10" x14ac:dyDescent="0.2">
      <c r="A158" s="4" t="str">
        <f>IF(F158&lt;&gt;"",1+MAX($A$6:A157),"")</f>
        <v/>
      </c>
      <c r="B158" s="168"/>
      <c r="C158" s="168"/>
      <c r="D158" s="181"/>
      <c r="E158" s="169"/>
      <c r="F158" s="180"/>
      <c r="G158" s="172"/>
      <c r="H158" s="105"/>
      <c r="I158" s="88"/>
      <c r="J158" s="86"/>
    </row>
    <row r="159" spans="1:10" x14ac:dyDescent="0.2">
      <c r="A159" s="4" t="str">
        <f>IF(F159&lt;&gt;"",1+MAX($A$6:A158),"")</f>
        <v/>
      </c>
      <c r="B159" s="168"/>
      <c r="C159" s="168"/>
      <c r="D159" s="170"/>
      <c r="E159" s="179" t="s">
        <v>154</v>
      </c>
      <c r="F159" s="180"/>
      <c r="G159" s="172"/>
      <c r="H159" s="105"/>
      <c r="I159" s="88"/>
      <c r="J159" s="86"/>
    </row>
    <row r="160" spans="1:10" x14ac:dyDescent="0.2">
      <c r="A160" s="4">
        <f>IF(F160&lt;&gt;"",1+MAX($A$6:A159),"")</f>
        <v>117</v>
      </c>
      <c r="B160" s="168" t="s">
        <v>59</v>
      </c>
      <c r="C160" s="168"/>
      <c r="D160" s="170"/>
      <c r="E160" s="169" t="s">
        <v>97</v>
      </c>
      <c r="F160" s="180">
        <f>271.6*19</f>
        <v>5160.4000000000005</v>
      </c>
      <c r="G160" s="172" t="s">
        <v>210</v>
      </c>
      <c r="H160" s="105">
        <v>0</v>
      </c>
      <c r="I160" s="88">
        <f t="shared" si="5"/>
        <v>0</v>
      </c>
      <c r="J160" s="86"/>
    </row>
    <row r="161" spans="1:10" x14ac:dyDescent="0.2">
      <c r="A161" s="4">
        <f>IF(F161&lt;&gt;"",1+MAX($A$6:A160),"")</f>
        <v>118</v>
      </c>
      <c r="B161" s="168" t="s">
        <v>59</v>
      </c>
      <c r="C161" s="168"/>
      <c r="D161" s="170"/>
      <c r="E161" s="169" t="s">
        <v>99</v>
      </c>
      <c r="F161" s="180">
        <f>53.1*22</f>
        <v>1168.2</v>
      </c>
      <c r="G161" s="172" t="s">
        <v>210</v>
      </c>
      <c r="H161" s="105">
        <v>0</v>
      </c>
      <c r="I161" s="88">
        <f t="shared" si="5"/>
        <v>0</v>
      </c>
      <c r="J161" s="86"/>
    </row>
    <row r="162" spans="1:10" x14ac:dyDescent="0.2">
      <c r="A162" s="4">
        <f>IF(F162&lt;&gt;"",1+MAX($A$6:A161),"")</f>
        <v>119</v>
      </c>
      <c r="B162" s="168" t="s">
        <v>59</v>
      </c>
      <c r="C162" s="168"/>
      <c r="D162" s="170"/>
      <c r="E162" s="169" t="s">
        <v>101</v>
      </c>
      <c r="F162" s="180">
        <f>252*26</f>
        <v>6552</v>
      </c>
      <c r="G162" s="172" t="s">
        <v>210</v>
      </c>
      <c r="H162" s="105">
        <v>0</v>
      </c>
      <c r="I162" s="88">
        <f t="shared" si="5"/>
        <v>0</v>
      </c>
      <c r="J162" s="86"/>
    </row>
    <row r="163" spans="1:10" x14ac:dyDescent="0.2">
      <c r="A163" s="4">
        <f>IF(F163&lt;&gt;"",1+MAX($A$6:A162),"")</f>
        <v>120</v>
      </c>
      <c r="B163" s="168" t="s">
        <v>59</v>
      </c>
      <c r="C163" s="168"/>
      <c r="D163" s="170"/>
      <c r="E163" s="169" t="s">
        <v>106</v>
      </c>
      <c r="F163" s="180">
        <f>34.1*44</f>
        <v>1500.4</v>
      </c>
      <c r="G163" s="172" t="s">
        <v>210</v>
      </c>
      <c r="H163" s="105">
        <v>0</v>
      </c>
      <c r="I163" s="88">
        <f t="shared" si="5"/>
        <v>0</v>
      </c>
      <c r="J163" s="86"/>
    </row>
    <row r="164" spans="1:10" x14ac:dyDescent="0.2">
      <c r="A164" s="4">
        <f>IF(F164&lt;&gt;"",1+MAX($A$6:A163),"")</f>
        <v>121</v>
      </c>
      <c r="B164" s="168" t="s">
        <v>59</v>
      </c>
      <c r="C164" s="168"/>
      <c r="D164" s="170"/>
      <c r="E164" s="169" t="s">
        <v>153</v>
      </c>
      <c r="F164" s="180">
        <f>4.3*62</f>
        <v>266.59999999999997</v>
      </c>
      <c r="G164" s="172" t="s">
        <v>210</v>
      </c>
      <c r="H164" s="105">
        <v>0</v>
      </c>
      <c r="I164" s="88">
        <f t="shared" si="5"/>
        <v>0</v>
      </c>
      <c r="J164" s="86"/>
    </row>
    <row r="165" spans="1:10" x14ac:dyDescent="0.2">
      <c r="A165" s="4">
        <f>IF(F165&lt;&gt;"",1+MAX($A$6:A164),"")</f>
        <v>122</v>
      </c>
      <c r="B165" s="168" t="s">
        <v>59</v>
      </c>
      <c r="C165" s="168"/>
      <c r="D165" s="170"/>
      <c r="E165" s="169" t="s">
        <v>110</v>
      </c>
      <c r="F165" s="180">
        <f>40.1*76</f>
        <v>3047.6</v>
      </c>
      <c r="G165" s="172" t="s">
        <v>210</v>
      </c>
      <c r="H165" s="105">
        <v>0</v>
      </c>
      <c r="I165" s="88">
        <f t="shared" si="5"/>
        <v>0</v>
      </c>
      <c r="J165" s="86"/>
    </row>
    <row r="166" spans="1:10" x14ac:dyDescent="0.2">
      <c r="A166" s="4">
        <f>IF(F166&lt;&gt;"",1+MAX($A$6:A165),"")</f>
        <v>123</v>
      </c>
      <c r="B166" s="168" t="s">
        <v>59</v>
      </c>
      <c r="C166" s="168"/>
      <c r="D166" s="170"/>
      <c r="E166" s="169" t="s">
        <v>111</v>
      </c>
      <c r="F166" s="180">
        <f>367*84</f>
        <v>30828</v>
      </c>
      <c r="G166" s="172" t="s">
        <v>210</v>
      </c>
      <c r="H166" s="105">
        <v>0</v>
      </c>
      <c r="I166" s="88">
        <f t="shared" si="5"/>
        <v>0</v>
      </c>
      <c r="J166" s="86"/>
    </row>
    <row r="167" spans="1:10" x14ac:dyDescent="0.2">
      <c r="A167" s="4">
        <f>IF(F167&lt;&gt;"",1+MAX($A$6:A166),"")</f>
        <v>124</v>
      </c>
      <c r="B167" s="168" t="s">
        <v>59</v>
      </c>
      <c r="C167" s="168"/>
      <c r="D167" s="170"/>
      <c r="E167" s="169" t="s">
        <v>155</v>
      </c>
      <c r="F167" s="180">
        <f>8.7*21</f>
        <v>182.7</v>
      </c>
      <c r="G167" s="172" t="s">
        <v>210</v>
      </c>
      <c r="H167" s="105">
        <v>0</v>
      </c>
      <c r="I167" s="88">
        <f t="shared" si="5"/>
        <v>0</v>
      </c>
      <c r="J167" s="86"/>
    </row>
    <row r="168" spans="1:10" x14ac:dyDescent="0.2">
      <c r="A168" s="4" t="str">
        <f>IF(F168&lt;&gt;"",1+MAX($A$6:A167),"")</f>
        <v/>
      </c>
      <c r="B168" s="168"/>
      <c r="C168" s="168"/>
      <c r="D168" s="181"/>
      <c r="E168" s="169"/>
      <c r="F168" s="180"/>
      <c r="G168" s="172"/>
      <c r="H168" s="105"/>
      <c r="I168" s="88"/>
      <c r="J168" s="86"/>
    </row>
    <row r="169" spans="1:10" x14ac:dyDescent="0.2">
      <c r="A169" s="4" t="str">
        <f>IF(F169&lt;&gt;"",1+MAX($A$6:A168),"")</f>
        <v/>
      </c>
      <c r="B169" s="168"/>
      <c r="C169" s="168"/>
      <c r="D169" s="170"/>
      <c r="E169" s="179" t="s">
        <v>156</v>
      </c>
      <c r="F169" s="180"/>
      <c r="G169" s="172"/>
      <c r="H169" s="105"/>
      <c r="I169" s="88"/>
      <c r="J169" s="86"/>
    </row>
    <row r="170" spans="1:10" x14ac:dyDescent="0.2">
      <c r="A170" s="4">
        <f>IF(F170&lt;&gt;"",1+MAX($A$6:A169),"")</f>
        <v>125</v>
      </c>
      <c r="B170" s="168" t="s">
        <v>59</v>
      </c>
      <c r="C170" s="168"/>
      <c r="D170" s="170"/>
      <c r="E170" s="169" t="s">
        <v>157</v>
      </c>
      <c r="F170" s="180">
        <f>(399.1*2)*23.34</f>
        <v>18629.988000000001</v>
      </c>
      <c r="G170" s="172" t="s">
        <v>210</v>
      </c>
      <c r="H170" s="105">
        <v>0</v>
      </c>
      <c r="I170" s="88">
        <f t="shared" si="5"/>
        <v>0</v>
      </c>
      <c r="J170" s="86"/>
    </row>
    <row r="171" spans="1:10" x14ac:dyDescent="0.2">
      <c r="A171" s="4">
        <f>IF(F171&lt;&gt;"",1+MAX($A$6:A170),"")</f>
        <v>126</v>
      </c>
      <c r="B171" s="168" t="s">
        <v>59</v>
      </c>
      <c r="C171" s="168"/>
      <c r="D171" s="170"/>
      <c r="E171" s="169" t="s">
        <v>158</v>
      </c>
      <c r="F171" s="180">
        <f>(1674.7)*27.59</f>
        <v>46204.972999999998</v>
      </c>
      <c r="G171" s="172" t="s">
        <v>210</v>
      </c>
      <c r="H171" s="105">
        <v>0</v>
      </c>
      <c r="I171" s="88">
        <f t="shared" si="5"/>
        <v>0</v>
      </c>
      <c r="J171" s="86"/>
    </row>
    <row r="172" spans="1:10" x14ac:dyDescent="0.2">
      <c r="A172" s="4" t="str">
        <f>IF(F172&lt;&gt;"",1+MAX($A$6:A171),"")</f>
        <v/>
      </c>
      <c r="B172" s="168"/>
      <c r="C172" s="168"/>
      <c r="D172" s="170"/>
      <c r="E172" s="169"/>
      <c r="F172" s="180"/>
      <c r="G172" s="172"/>
      <c r="H172" s="105"/>
      <c r="I172" s="88"/>
      <c r="J172" s="86"/>
    </row>
    <row r="173" spans="1:10" x14ac:dyDescent="0.2">
      <c r="A173" s="4" t="str">
        <f>IF(F173&lt;&gt;"",1+MAX($A$6:A172),"")</f>
        <v/>
      </c>
      <c r="B173" s="168"/>
      <c r="C173" s="168"/>
      <c r="D173" s="170"/>
      <c r="E173" s="179" t="s">
        <v>122</v>
      </c>
      <c r="F173" s="180"/>
      <c r="G173" s="172"/>
      <c r="H173" s="105"/>
      <c r="I173" s="88"/>
      <c r="J173" s="86"/>
    </row>
    <row r="174" spans="1:10" x14ac:dyDescent="0.2">
      <c r="A174" s="4">
        <f>IF(F174&lt;&gt;"",1+MAX($A$6:A173),"")</f>
        <v>127</v>
      </c>
      <c r="B174" s="168" t="s">
        <v>59</v>
      </c>
      <c r="C174" s="168" t="s">
        <v>125</v>
      </c>
      <c r="D174" s="170"/>
      <c r="E174" s="169" t="s">
        <v>159</v>
      </c>
      <c r="F174" s="180">
        <f>14397</f>
        <v>14397</v>
      </c>
      <c r="G174" s="172" t="s">
        <v>17</v>
      </c>
      <c r="H174" s="105">
        <v>0</v>
      </c>
      <c r="I174" s="88">
        <f t="shared" si="5"/>
        <v>0</v>
      </c>
      <c r="J174" s="86"/>
    </row>
    <row r="175" spans="1:10" x14ac:dyDescent="0.2">
      <c r="A175" s="4">
        <f>IF(F175&lt;&gt;"",1+MAX($A$6:A174),"")</f>
        <v>128</v>
      </c>
      <c r="B175" s="168" t="s">
        <v>59</v>
      </c>
      <c r="C175" s="168" t="s">
        <v>125</v>
      </c>
      <c r="D175" s="170"/>
      <c r="E175" s="169" t="s">
        <v>160</v>
      </c>
      <c r="F175" s="180">
        <v>1240</v>
      </c>
      <c r="G175" s="172" t="s">
        <v>17</v>
      </c>
      <c r="H175" s="105">
        <v>0</v>
      </c>
      <c r="I175" s="88">
        <f t="shared" si="5"/>
        <v>0</v>
      </c>
      <c r="J175" s="86"/>
    </row>
    <row r="176" spans="1:10" x14ac:dyDescent="0.2">
      <c r="A176" s="4">
        <f>IF(F176&lt;&gt;"",1+MAX($A$6:A175),"")</f>
        <v>129</v>
      </c>
      <c r="B176" s="168" t="s">
        <v>59</v>
      </c>
      <c r="C176" s="168"/>
      <c r="D176" s="170"/>
      <c r="E176" s="169" t="s">
        <v>161</v>
      </c>
      <c r="F176" s="180">
        <f>70.1</f>
        <v>70.099999999999994</v>
      </c>
      <c r="G176" s="172" t="s">
        <v>17</v>
      </c>
      <c r="H176" s="105">
        <v>0</v>
      </c>
      <c r="I176" s="88">
        <f t="shared" si="5"/>
        <v>0</v>
      </c>
      <c r="J176" s="86"/>
    </row>
    <row r="177" spans="1:10" x14ac:dyDescent="0.2">
      <c r="A177" s="4">
        <f>IF(F177&lt;&gt;"",1+MAX($A$6:A176),"")</f>
        <v>130</v>
      </c>
      <c r="B177" s="168" t="s">
        <v>59</v>
      </c>
      <c r="C177" s="168" t="s">
        <v>125</v>
      </c>
      <c r="D177" s="170"/>
      <c r="E177" s="169" t="s">
        <v>162</v>
      </c>
      <c r="F177" s="180">
        <v>9593.6</v>
      </c>
      <c r="G177" s="172" t="s">
        <v>17</v>
      </c>
      <c r="H177" s="105">
        <v>0</v>
      </c>
      <c r="I177" s="88">
        <f t="shared" si="5"/>
        <v>0</v>
      </c>
      <c r="J177" s="86"/>
    </row>
    <row r="178" spans="1:10" x14ac:dyDescent="0.2">
      <c r="A178" s="4">
        <f>IF(F178&lt;&gt;"",1+MAX($A$6:A177),"")</f>
        <v>131</v>
      </c>
      <c r="B178" s="168" t="s">
        <v>59</v>
      </c>
      <c r="C178" s="168" t="s">
        <v>125</v>
      </c>
      <c r="D178" s="170"/>
      <c r="E178" s="169" t="s">
        <v>163</v>
      </c>
      <c r="F178" s="180">
        <v>4312</v>
      </c>
      <c r="G178" s="172" t="s">
        <v>17</v>
      </c>
      <c r="H178" s="105">
        <v>0</v>
      </c>
      <c r="I178" s="88">
        <f t="shared" si="5"/>
        <v>0</v>
      </c>
      <c r="J178" s="86"/>
    </row>
    <row r="179" spans="1:10" ht="31.5" x14ac:dyDescent="0.2">
      <c r="A179" s="4">
        <f>IF(F179&lt;&gt;"",1+MAX($A$6:A178),"")</f>
        <v>132</v>
      </c>
      <c r="B179" s="168" t="s">
        <v>59</v>
      </c>
      <c r="C179" s="168" t="s">
        <v>125</v>
      </c>
      <c r="D179" s="170"/>
      <c r="E179" s="169" t="s">
        <v>164</v>
      </c>
      <c r="F179" s="180">
        <v>593.5</v>
      </c>
      <c r="G179" s="172" t="s">
        <v>17</v>
      </c>
      <c r="H179" s="105">
        <v>0</v>
      </c>
      <c r="I179" s="88">
        <f t="shared" si="5"/>
        <v>0</v>
      </c>
      <c r="J179" s="86"/>
    </row>
    <row r="180" spans="1:10" ht="16.5" thickBot="1" x14ac:dyDescent="0.25">
      <c r="A180" s="4" t="str">
        <f>IF(F180&lt;&gt;"",1+MAX($A$6:A179),"")</f>
        <v/>
      </c>
      <c r="B180" s="168"/>
      <c r="C180" s="168"/>
      <c r="D180" s="168"/>
      <c r="E180" s="169"/>
      <c r="F180" s="180"/>
      <c r="G180" s="172"/>
      <c r="H180" s="105"/>
      <c r="I180" s="88"/>
      <c r="J180" s="86"/>
    </row>
    <row r="181" spans="1:10" ht="16.5" thickBot="1" x14ac:dyDescent="0.25">
      <c r="A181" s="4" t="str">
        <f>IF(F181&lt;&gt;"",1+MAX($A$6:A180),"")</f>
        <v/>
      </c>
      <c r="B181" s="182"/>
      <c r="C181" s="167"/>
      <c r="D181" s="183"/>
      <c r="E181" s="177" t="s">
        <v>165</v>
      </c>
      <c r="F181" s="178"/>
      <c r="G181" s="185"/>
      <c r="H181" s="105"/>
      <c r="I181" s="88"/>
      <c r="J181" s="86"/>
    </row>
    <row r="182" spans="1:10" x14ac:dyDescent="0.2">
      <c r="A182" s="4" t="str">
        <f>IF(F182&lt;&gt;"",1+MAX($A$6:A181),"")</f>
        <v/>
      </c>
      <c r="B182" s="168"/>
      <c r="C182" s="168"/>
      <c r="D182" s="170"/>
      <c r="E182" s="179" t="s">
        <v>58</v>
      </c>
      <c r="F182" s="180"/>
      <c r="G182" s="172"/>
      <c r="H182" s="105"/>
      <c r="I182" s="88"/>
      <c r="J182" s="86"/>
    </row>
    <row r="183" spans="1:10" ht="47.25" x14ac:dyDescent="0.2">
      <c r="A183" s="4">
        <f>IF(F183&lt;&gt;"",1+MAX($A$6:A182),"")</f>
        <v>133</v>
      </c>
      <c r="B183" s="168" t="s">
        <v>166</v>
      </c>
      <c r="C183" s="168"/>
      <c r="D183" s="170"/>
      <c r="E183" s="184" t="s">
        <v>167</v>
      </c>
      <c r="F183" s="180">
        <f>4*37.5*122</f>
        <v>18300</v>
      </c>
      <c r="G183" s="172" t="s">
        <v>210</v>
      </c>
      <c r="H183" s="105">
        <v>0</v>
      </c>
      <c r="I183" s="88">
        <f t="shared" si="5"/>
        <v>0</v>
      </c>
      <c r="J183" s="86"/>
    </row>
    <row r="184" spans="1:10" ht="47.25" x14ac:dyDescent="0.2">
      <c r="A184" s="4">
        <f>IF(F184&lt;&gt;"",1+MAX($A$6:A183),"")</f>
        <v>134</v>
      </c>
      <c r="B184" s="168" t="s">
        <v>166</v>
      </c>
      <c r="C184" s="168"/>
      <c r="D184" s="181"/>
      <c r="E184" s="184" t="s">
        <v>168</v>
      </c>
      <c r="F184" s="180">
        <f>7*37.5*111</f>
        <v>29137.5</v>
      </c>
      <c r="G184" s="172" t="s">
        <v>210</v>
      </c>
      <c r="H184" s="105">
        <v>0</v>
      </c>
      <c r="I184" s="88">
        <f t="shared" si="5"/>
        <v>0</v>
      </c>
      <c r="J184" s="86"/>
    </row>
    <row r="185" spans="1:10" ht="47.25" x14ac:dyDescent="0.2">
      <c r="A185" s="4">
        <f>IF(F185&lt;&gt;"",1+MAX($A$6:A184),"")</f>
        <v>135</v>
      </c>
      <c r="B185" s="168" t="s">
        <v>166</v>
      </c>
      <c r="C185" s="168"/>
      <c r="D185" s="181"/>
      <c r="E185" s="184" t="s">
        <v>169</v>
      </c>
      <c r="F185" s="180">
        <f>2*37.5*93</f>
        <v>6975</v>
      </c>
      <c r="G185" s="172" t="s">
        <v>210</v>
      </c>
      <c r="H185" s="105">
        <v>0</v>
      </c>
      <c r="I185" s="88">
        <f t="shared" si="5"/>
        <v>0</v>
      </c>
      <c r="J185" s="86"/>
    </row>
    <row r="186" spans="1:10" ht="47.25" x14ac:dyDescent="0.2">
      <c r="A186" s="4">
        <f>IF(F186&lt;&gt;"",1+MAX($A$6:A185),"")</f>
        <v>136</v>
      </c>
      <c r="B186" s="168" t="s">
        <v>166</v>
      </c>
      <c r="C186" s="168"/>
      <c r="D186" s="181"/>
      <c r="E186" s="184" t="s">
        <v>170</v>
      </c>
      <c r="F186" s="180">
        <f>3*37.5*73</f>
        <v>8212.5</v>
      </c>
      <c r="G186" s="172" t="s">
        <v>210</v>
      </c>
      <c r="H186" s="105">
        <v>0</v>
      </c>
      <c r="I186" s="88">
        <f t="shared" si="5"/>
        <v>0</v>
      </c>
      <c r="J186" s="86"/>
    </row>
    <row r="187" spans="1:10" x14ac:dyDescent="0.2">
      <c r="A187" s="4" t="str">
        <f>IF(F187&lt;&gt;"",1+MAX($A$6:A186),"")</f>
        <v/>
      </c>
      <c r="B187" s="168"/>
      <c r="C187" s="168"/>
      <c r="D187" s="181"/>
      <c r="E187" s="169"/>
      <c r="F187" s="180"/>
      <c r="G187" s="172"/>
      <c r="H187" s="105"/>
      <c r="I187" s="88"/>
      <c r="J187" s="86"/>
    </row>
    <row r="188" spans="1:10" x14ac:dyDescent="0.2">
      <c r="A188" s="4" t="str">
        <f>IF(F188&lt;&gt;"",1+MAX($A$6:A187),"")</f>
        <v/>
      </c>
      <c r="B188" s="168"/>
      <c r="C188" s="168"/>
      <c r="D188" s="170"/>
      <c r="E188" s="179" t="s">
        <v>91</v>
      </c>
      <c r="F188" s="180"/>
      <c r="G188" s="172"/>
      <c r="H188" s="105"/>
      <c r="I188" s="88"/>
      <c r="J188" s="86"/>
    </row>
    <row r="189" spans="1:10" x14ac:dyDescent="0.2">
      <c r="A189" s="4">
        <f>IF(F189&lt;&gt;"",1+MAX($A$6:A188),"")</f>
        <v>137</v>
      </c>
      <c r="B189" s="168" t="s">
        <v>166</v>
      </c>
      <c r="C189" s="168"/>
      <c r="D189" s="170"/>
      <c r="E189" s="169" t="s">
        <v>171</v>
      </c>
      <c r="F189" s="180">
        <f>(53.8+33.5)*62</f>
        <v>5412.5999999999995</v>
      </c>
      <c r="G189" s="172" t="s">
        <v>210</v>
      </c>
      <c r="H189" s="105">
        <v>0</v>
      </c>
      <c r="I189" s="88">
        <f t="shared" si="5"/>
        <v>0</v>
      </c>
      <c r="J189" s="86"/>
    </row>
    <row r="190" spans="1:10" x14ac:dyDescent="0.2">
      <c r="A190" s="4">
        <f>IF(F190&lt;&gt;"",1+MAX($A$6:A189),"")</f>
        <v>138</v>
      </c>
      <c r="B190" s="168" t="s">
        <v>166</v>
      </c>
      <c r="C190" s="168"/>
      <c r="D190" s="170"/>
      <c r="E190" s="169" t="s">
        <v>172</v>
      </c>
      <c r="F190" s="180">
        <f>(94.6+147.4)*50</f>
        <v>12100</v>
      </c>
      <c r="G190" s="172" t="s">
        <v>210</v>
      </c>
      <c r="H190" s="105">
        <v>0</v>
      </c>
      <c r="I190" s="88">
        <f t="shared" si="5"/>
        <v>0</v>
      </c>
      <c r="J190" s="86"/>
    </row>
    <row r="191" spans="1:10" x14ac:dyDescent="0.2">
      <c r="A191" s="4">
        <f>IF(F191&lt;&gt;"",1+MAX($A$6:A190),"")</f>
        <v>139</v>
      </c>
      <c r="B191" s="168" t="s">
        <v>166</v>
      </c>
      <c r="C191" s="168"/>
      <c r="D191" s="170"/>
      <c r="E191" s="169" t="s">
        <v>104</v>
      </c>
      <c r="F191" s="180">
        <f>(15+43)*35</f>
        <v>2030</v>
      </c>
      <c r="G191" s="172" t="s">
        <v>210</v>
      </c>
      <c r="H191" s="105">
        <v>0</v>
      </c>
      <c r="I191" s="88">
        <f t="shared" si="5"/>
        <v>0</v>
      </c>
      <c r="J191" s="86"/>
    </row>
    <row r="192" spans="1:10" x14ac:dyDescent="0.2">
      <c r="A192" s="4">
        <f>IF(F192&lt;&gt;"",1+MAX($A$6:A191),"")</f>
        <v>140</v>
      </c>
      <c r="B192" s="168" t="s">
        <v>166</v>
      </c>
      <c r="C192" s="168"/>
      <c r="D192" s="170"/>
      <c r="E192" s="169" t="s">
        <v>173</v>
      </c>
      <c r="F192" s="180">
        <f>25.4*57</f>
        <v>1447.8</v>
      </c>
      <c r="G192" s="172" t="s">
        <v>210</v>
      </c>
      <c r="H192" s="105">
        <v>0</v>
      </c>
      <c r="I192" s="88">
        <f t="shared" si="5"/>
        <v>0</v>
      </c>
      <c r="J192" s="86"/>
    </row>
    <row r="193" spans="1:10" x14ac:dyDescent="0.2">
      <c r="A193" s="4">
        <f>IF(F193&lt;&gt;"",1+MAX($A$6:A192),"")</f>
        <v>141</v>
      </c>
      <c r="B193" s="168" t="s">
        <v>166</v>
      </c>
      <c r="C193" s="168"/>
      <c r="D193" s="170"/>
      <c r="E193" s="169" t="s">
        <v>174</v>
      </c>
      <c r="F193" s="180">
        <f>33.3*93</f>
        <v>3096.8999999999996</v>
      </c>
      <c r="G193" s="172" t="s">
        <v>210</v>
      </c>
      <c r="H193" s="105">
        <v>0</v>
      </c>
      <c r="I193" s="88">
        <f t="shared" si="5"/>
        <v>0</v>
      </c>
      <c r="J193" s="86"/>
    </row>
    <row r="194" spans="1:10" x14ac:dyDescent="0.2">
      <c r="A194" s="4" t="str">
        <f>IF(F194&lt;&gt;"",1+MAX($A$6:A193),"")</f>
        <v/>
      </c>
      <c r="B194" s="168"/>
      <c r="C194" s="168"/>
      <c r="D194" s="181"/>
      <c r="E194" s="169"/>
      <c r="F194" s="180"/>
      <c r="G194" s="172"/>
      <c r="H194" s="105"/>
      <c r="I194" s="88"/>
      <c r="J194" s="86"/>
    </row>
    <row r="195" spans="1:10" x14ac:dyDescent="0.2">
      <c r="A195" s="4" t="str">
        <f>IF(F195&lt;&gt;"",1+MAX($A$6:A194),"")</f>
        <v/>
      </c>
      <c r="B195" s="168"/>
      <c r="C195" s="168"/>
      <c r="D195" s="170"/>
      <c r="E195" s="179" t="s">
        <v>175</v>
      </c>
      <c r="F195" s="180"/>
      <c r="G195" s="172"/>
      <c r="H195" s="105"/>
      <c r="I195" s="88"/>
      <c r="J195" s="86"/>
    </row>
    <row r="196" spans="1:10" x14ac:dyDescent="0.2">
      <c r="A196" s="4">
        <f>IF(F196&lt;&gt;"",1+MAX($A$6:A195),"")</f>
        <v>142</v>
      </c>
      <c r="B196" s="168" t="s">
        <v>166</v>
      </c>
      <c r="C196" s="168"/>
      <c r="D196" s="170"/>
      <c r="E196" s="169" t="s">
        <v>176</v>
      </c>
      <c r="F196" s="180">
        <f>20*28*14.83</f>
        <v>8304.7999999999993</v>
      </c>
      <c r="G196" s="172" t="s">
        <v>210</v>
      </c>
      <c r="H196" s="105">
        <v>0</v>
      </c>
      <c r="I196" s="88">
        <f t="shared" si="5"/>
        <v>0</v>
      </c>
      <c r="J196" s="86"/>
    </row>
    <row r="197" spans="1:10" x14ac:dyDescent="0.2">
      <c r="A197" s="4" t="str">
        <f>IF(F197&lt;&gt;"",1+MAX($A$6:A196),"")</f>
        <v/>
      </c>
      <c r="B197" s="168"/>
      <c r="C197" s="168"/>
      <c r="D197" s="181"/>
      <c r="E197" s="169"/>
      <c r="F197" s="180"/>
      <c r="G197" s="172"/>
      <c r="H197" s="105"/>
      <c r="I197" s="88"/>
      <c r="J197" s="86"/>
    </row>
    <row r="198" spans="1:10" x14ac:dyDescent="0.2">
      <c r="A198" s="4" t="str">
        <f>IF(F198&lt;&gt;"",1+MAX($A$6:A197),"")</f>
        <v/>
      </c>
      <c r="B198" s="168"/>
      <c r="C198" s="168"/>
      <c r="D198" s="170"/>
      <c r="E198" s="179" t="s">
        <v>84</v>
      </c>
      <c r="F198" s="180"/>
      <c r="G198" s="172"/>
      <c r="H198" s="105"/>
      <c r="I198" s="88"/>
      <c r="J198" s="86"/>
    </row>
    <row r="199" spans="1:10" ht="31.5" x14ac:dyDescent="0.2">
      <c r="A199" s="4">
        <f>IF(F199&lt;&gt;"",1+MAX($A$6:A198),"")</f>
        <v>143</v>
      </c>
      <c r="B199" s="168" t="s">
        <v>166</v>
      </c>
      <c r="C199" s="168"/>
      <c r="D199" s="170"/>
      <c r="E199" s="169" t="s">
        <v>177</v>
      </c>
      <c r="F199" s="180">
        <v>5</v>
      </c>
      <c r="G199" s="172" t="s">
        <v>211</v>
      </c>
      <c r="H199" s="105">
        <v>0</v>
      </c>
      <c r="I199" s="88">
        <f t="shared" si="5"/>
        <v>0</v>
      </c>
      <c r="J199" s="86"/>
    </row>
    <row r="200" spans="1:10" ht="31.5" x14ac:dyDescent="0.2">
      <c r="A200" s="4">
        <f>IF(F200&lt;&gt;"",1+MAX($A$6:A199),"")</f>
        <v>144</v>
      </c>
      <c r="B200" s="168" t="s">
        <v>166</v>
      </c>
      <c r="C200" s="168"/>
      <c r="D200" s="170"/>
      <c r="E200" s="169" t="s">
        <v>178</v>
      </c>
      <c r="F200" s="180">
        <v>11</v>
      </c>
      <c r="G200" s="172" t="s">
        <v>211</v>
      </c>
      <c r="H200" s="105">
        <v>0</v>
      </c>
      <c r="I200" s="88">
        <f t="shared" si="5"/>
        <v>0</v>
      </c>
      <c r="J200" s="86"/>
    </row>
    <row r="201" spans="1:10" x14ac:dyDescent="0.2">
      <c r="A201" s="4">
        <f>IF(F201&lt;&gt;"",1+MAX($A$6:A200),"")</f>
        <v>145</v>
      </c>
      <c r="B201" s="168" t="s">
        <v>166</v>
      </c>
      <c r="C201" s="168"/>
      <c r="D201" s="170"/>
      <c r="E201" s="169" t="s">
        <v>86</v>
      </c>
      <c r="F201" s="180">
        <v>16</v>
      </c>
      <c r="G201" s="172" t="s">
        <v>211</v>
      </c>
      <c r="H201" s="105">
        <v>0</v>
      </c>
      <c r="I201" s="88">
        <f t="shared" si="5"/>
        <v>0</v>
      </c>
      <c r="J201" s="86"/>
    </row>
    <row r="202" spans="1:10" x14ac:dyDescent="0.2">
      <c r="A202" s="4">
        <f>IF(F202&lt;&gt;"",1+MAX($A$6:A201),"")</f>
        <v>146</v>
      </c>
      <c r="B202" s="168" t="s">
        <v>166</v>
      </c>
      <c r="C202" s="168" t="s">
        <v>179</v>
      </c>
      <c r="D202" s="170"/>
      <c r="E202" s="169" t="s">
        <v>180</v>
      </c>
      <c r="F202" s="180">
        <f>28</f>
        <v>28</v>
      </c>
      <c r="G202" s="172" t="s">
        <v>211</v>
      </c>
      <c r="H202" s="105">
        <v>0</v>
      </c>
      <c r="I202" s="88">
        <f t="shared" si="5"/>
        <v>0</v>
      </c>
      <c r="J202" s="86"/>
    </row>
    <row r="203" spans="1:10" x14ac:dyDescent="0.2">
      <c r="A203" s="4">
        <f>IF(F203&lt;&gt;"",1+MAX($A$6:A202),"")</f>
        <v>147</v>
      </c>
      <c r="B203" s="168" t="s">
        <v>166</v>
      </c>
      <c r="C203" s="168" t="s">
        <v>181</v>
      </c>
      <c r="D203" s="170"/>
      <c r="E203" s="169" t="s">
        <v>182</v>
      </c>
      <c r="F203" s="180">
        <f>28</f>
        <v>28</v>
      </c>
      <c r="G203" s="172" t="s">
        <v>211</v>
      </c>
      <c r="H203" s="105">
        <v>0</v>
      </c>
      <c r="I203" s="88">
        <f t="shared" si="5"/>
        <v>0</v>
      </c>
      <c r="J203" s="86"/>
    </row>
    <row r="204" spans="1:10" ht="16.5" thickBot="1" x14ac:dyDescent="0.25">
      <c r="A204" s="4" t="str">
        <f>IF(F204&lt;&gt;"",1+MAX($A$6:A203),"")</f>
        <v/>
      </c>
      <c r="B204" s="168"/>
      <c r="C204" s="168"/>
      <c r="D204" s="168"/>
      <c r="E204" s="169"/>
      <c r="F204" s="180"/>
      <c r="G204" s="172"/>
      <c r="H204" s="105"/>
      <c r="I204" s="88"/>
      <c r="J204" s="86"/>
    </row>
    <row r="205" spans="1:10" ht="16.5" thickBot="1" x14ac:dyDescent="0.25">
      <c r="A205" s="4" t="str">
        <f>IF(F205&lt;&gt;"",1+MAX($A$6:A204),"")</f>
        <v/>
      </c>
      <c r="B205" s="182"/>
      <c r="C205" s="167"/>
      <c r="D205" s="183"/>
      <c r="E205" s="177" t="s">
        <v>183</v>
      </c>
      <c r="F205" s="178"/>
      <c r="G205" s="185"/>
      <c r="H205" s="105"/>
      <c r="I205" s="88"/>
      <c r="J205" s="86"/>
    </row>
    <row r="206" spans="1:10" x14ac:dyDescent="0.2">
      <c r="A206" s="4" t="str">
        <f>IF(F206&lt;&gt;"",1+MAX($A$6:A205),"")</f>
        <v/>
      </c>
      <c r="B206" s="168"/>
      <c r="C206" s="168"/>
      <c r="D206" s="170"/>
      <c r="E206" s="179" t="s">
        <v>184</v>
      </c>
      <c r="F206" s="180"/>
      <c r="G206" s="172"/>
      <c r="H206" s="105"/>
      <c r="I206" s="88"/>
      <c r="J206" s="86"/>
    </row>
    <row r="207" spans="1:10" x14ac:dyDescent="0.2">
      <c r="A207" s="4">
        <f>IF(F207&lt;&gt;"",1+MAX($A$6:A206),"")</f>
        <v>148</v>
      </c>
      <c r="B207" s="168" t="s">
        <v>166</v>
      </c>
      <c r="C207" s="168"/>
      <c r="D207" s="170"/>
      <c r="E207" s="169" t="s">
        <v>185</v>
      </c>
      <c r="F207" s="180">
        <f>83.2*1.4142*47.9</f>
        <v>5635.9829760000002</v>
      </c>
      <c r="G207" s="172" t="s">
        <v>210</v>
      </c>
      <c r="H207" s="105">
        <v>0</v>
      </c>
      <c r="I207" s="88">
        <f t="shared" si="5"/>
        <v>0</v>
      </c>
      <c r="J207" s="86"/>
    </row>
    <row r="208" spans="1:10" x14ac:dyDescent="0.2">
      <c r="A208" s="4">
        <f>IF(F208&lt;&gt;"",1+MAX($A$6:A207),"")</f>
        <v>149</v>
      </c>
      <c r="B208" s="168" t="s">
        <v>166</v>
      </c>
      <c r="C208" s="168"/>
      <c r="D208" s="181"/>
      <c r="E208" s="169" t="s">
        <v>186</v>
      </c>
      <c r="F208" s="180">
        <f>251.2*1.4142*42.79</f>
        <v>15201.020841599999</v>
      </c>
      <c r="G208" s="172" t="s">
        <v>210</v>
      </c>
      <c r="H208" s="105">
        <v>0</v>
      </c>
      <c r="I208" s="88">
        <f t="shared" si="5"/>
        <v>0</v>
      </c>
      <c r="J208" s="86"/>
    </row>
    <row r="209" spans="1:10" x14ac:dyDescent="0.2">
      <c r="A209" s="4" t="str">
        <f>IF(F209&lt;&gt;"",1+MAX($A$6:A208),"")</f>
        <v/>
      </c>
      <c r="B209" s="168"/>
      <c r="C209" s="168"/>
      <c r="D209" s="181"/>
      <c r="E209" s="169"/>
      <c r="F209" s="180"/>
      <c r="G209" s="172"/>
      <c r="H209" s="105"/>
      <c r="I209" s="88"/>
      <c r="J209" s="86"/>
    </row>
    <row r="210" spans="1:10" x14ac:dyDescent="0.2">
      <c r="A210" s="4" t="str">
        <f>IF(F210&lt;&gt;"",1+MAX($A$6:A209),"")</f>
        <v/>
      </c>
      <c r="B210" s="168"/>
      <c r="C210" s="168"/>
      <c r="D210" s="170"/>
      <c r="E210" s="179" t="s">
        <v>91</v>
      </c>
      <c r="F210" s="180"/>
      <c r="G210" s="172"/>
      <c r="H210" s="105"/>
      <c r="I210" s="88"/>
      <c r="J210" s="86"/>
    </row>
    <row r="211" spans="1:10" x14ac:dyDescent="0.2">
      <c r="A211" s="4">
        <f>IF(F211&lt;&gt;"",1+MAX($A$6:A210),"")</f>
        <v>150</v>
      </c>
      <c r="B211" s="168" t="s">
        <v>166</v>
      </c>
      <c r="C211" s="168"/>
      <c r="D211" s="181"/>
      <c r="E211" s="169" t="s">
        <v>187</v>
      </c>
      <c r="F211" s="180">
        <f>(26.2+27.5)*37.69</f>
        <v>2023.953</v>
      </c>
      <c r="G211" s="172" t="s">
        <v>210</v>
      </c>
      <c r="H211" s="105">
        <v>0</v>
      </c>
      <c r="I211" s="88">
        <f t="shared" si="5"/>
        <v>0</v>
      </c>
      <c r="J211" s="86"/>
    </row>
    <row r="212" spans="1:10" x14ac:dyDescent="0.2">
      <c r="A212" s="4">
        <f>IF(F212&lt;&gt;"",1+MAX($A$6:A211),"")</f>
        <v>151</v>
      </c>
      <c r="B212" s="168" t="s">
        <v>166</v>
      </c>
      <c r="C212" s="168"/>
      <c r="D212" s="181"/>
      <c r="E212" s="169" t="s">
        <v>188</v>
      </c>
      <c r="F212" s="180">
        <f>7.9*47.9</f>
        <v>378.41</v>
      </c>
      <c r="G212" s="172" t="s">
        <v>210</v>
      </c>
      <c r="H212" s="105">
        <v>0</v>
      </c>
      <c r="I212" s="88">
        <f t="shared" si="5"/>
        <v>0</v>
      </c>
      <c r="J212" s="86"/>
    </row>
    <row r="213" spans="1:10" x14ac:dyDescent="0.2">
      <c r="A213" s="4">
        <f>IF(F213&lt;&gt;"",1+MAX($A$6:A212),"")</f>
        <v>152</v>
      </c>
      <c r="B213" s="168" t="s">
        <v>166</v>
      </c>
      <c r="C213" s="168"/>
      <c r="D213" s="181"/>
      <c r="E213" s="169" t="s">
        <v>189</v>
      </c>
      <c r="F213" s="180">
        <f>22.4*37.69</f>
        <v>844.25599999999986</v>
      </c>
      <c r="G213" s="172" t="s">
        <v>210</v>
      </c>
      <c r="H213" s="105">
        <v>0</v>
      </c>
      <c r="I213" s="88">
        <f t="shared" si="5"/>
        <v>0</v>
      </c>
      <c r="J213" s="86"/>
    </row>
    <row r="214" spans="1:10" x14ac:dyDescent="0.2">
      <c r="A214" s="4" t="str">
        <f>IF(F214&lt;&gt;"",1+MAX($A$6:A213),"")</f>
        <v/>
      </c>
      <c r="B214" s="168"/>
      <c r="C214" s="168"/>
      <c r="D214" s="181"/>
      <c r="E214" s="169"/>
      <c r="F214" s="180"/>
      <c r="G214" s="172"/>
      <c r="H214" s="105"/>
      <c r="I214" s="88"/>
      <c r="J214" s="86"/>
    </row>
    <row r="215" spans="1:10" x14ac:dyDescent="0.2">
      <c r="A215" s="4" t="str">
        <f>IF(F215&lt;&gt;"",1+MAX($A$6:A214),"")</f>
        <v/>
      </c>
      <c r="B215" s="168"/>
      <c r="C215" s="168"/>
      <c r="D215" s="170"/>
      <c r="E215" s="179" t="s">
        <v>84</v>
      </c>
      <c r="F215" s="180"/>
      <c r="G215" s="172"/>
      <c r="H215" s="105"/>
      <c r="I215" s="88"/>
      <c r="J215" s="86"/>
    </row>
    <row r="216" spans="1:10" x14ac:dyDescent="0.2">
      <c r="A216" s="4">
        <f>IF(F216&lt;&gt;"",1+MAX($A$6:A215),"")</f>
        <v>153</v>
      </c>
      <c r="B216" s="168" t="s">
        <v>166</v>
      </c>
      <c r="C216" s="168"/>
      <c r="D216" s="170"/>
      <c r="E216" s="169" t="s">
        <v>142</v>
      </c>
      <c r="F216" s="180">
        <f>8.3+7.9</f>
        <v>16.200000000000003</v>
      </c>
      <c r="G216" s="172" t="s">
        <v>18</v>
      </c>
      <c r="H216" s="105">
        <v>0</v>
      </c>
      <c r="I216" s="88">
        <f t="shared" si="5"/>
        <v>0</v>
      </c>
      <c r="J216" s="86"/>
    </row>
    <row r="217" spans="1:10" x14ac:dyDescent="0.2">
      <c r="A217" s="4">
        <f>IF(F217&lt;&gt;"",1+MAX($A$6:A216),"")</f>
        <v>154</v>
      </c>
      <c r="B217" s="168" t="s">
        <v>166</v>
      </c>
      <c r="C217" s="168"/>
      <c r="D217" s="170"/>
      <c r="E217" s="169" t="s">
        <v>190</v>
      </c>
      <c r="F217" s="180">
        <v>23.6</v>
      </c>
      <c r="G217" s="172" t="s">
        <v>18</v>
      </c>
      <c r="H217" s="105">
        <v>0</v>
      </c>
      <c r="I217" s="88">
        <f t="shared" si="5"/>
        <v>0</v>
      </c>
      <c r="J217" s="86"/>
    </row>
    <row r="218" spans="1:10" x14ac:dyDescent="0.2">
      <c r="A218" s="4" t="str">
        <f>IF(F218&lt;&gt;"",1+MAX($A$6:A217),"")</f>
        <v/>
      </c>
      <c r="B218" s="168"/>
      <c r="C218" s="168"/>
      <c r="D218" s="181"/>
      <c r="E218" s="169"/>
      <c r="F218" s="180"/>
      <c r="G218" s="172"/>
      <c r="H218" s="105"/>
      <c r="I218" s="88"/>
      <c r="J218" s="86"/>
    </row>
    <row r="219" spans="1:10" x14ac:dyDescent="0.2">
      <c r="A219" s="4" t="str">
        <f>IF(F219&lt;&gt;"",1+MAX($A$6:A218),"")</f>
        <v/>
      </c>
      <c r="B219" s="168"/>
      <c r="C219" s="168"/>
      <c r="D219" s="170"/>
      <c r="E219" s="179" t="s">
        <v>55</v>
      </c>
      <c r="F219" s="180"/>
      <c r="G219" s="172"/>
      <c r="H219" s="105"/>
      <c r="I219" s="88"/>
      <c r="J219" s="86"/>
    </row>
    <row r="220" spans="1:10" x14ac:dyDescent="0.2">
      <c r="A220" s="4">
        <f>IF(F220&lt;&gt;"",1+MAX($A$6:A219),"")</f>
        <v>155</v>
      </c>
      <c r="B220" s="168" t="s">
        <v>59</v>
      </c>
      <c r="C220" s="168"/>
      <c r="D220" s="170"/>
      <c r="E220" s="169" t="s">
        <v>117</v>
      </c>
      <c r="F220" s="180">
        <f>(50.3+22.4)*6.6</f>
        <v>479.81999999999988</v>
      </c>
      <c r="G220" s="172" t="s">
        <v>210</v>
      </c>
      <c r="H220" s="105">
        <v>0</v>
      </c>
      <c r="I220" s="88">
        <f t="shared" ref="I220:I245" si="6">H220*F220</f>
        <v>0</v>
      </c>
      <c r="J220" s="86"/>
    </row>
    <row r="221" spans="1:10" x14ac:dyDescent="0.2">
      <c r="A221" s="4">
        <f>IF(F221&lt;&gt;"",1+MAX($A$6:A220),"")</f>
        <v>156</v>
      </c>
      <c r="B221" s="168" t="s">
        <v>59</v>
      </c>
      <c r="C221" s="168"/>
      <c r="D221" s="170"/>
      <c r="E221" s="169" t="s">
        <v>118</v>
      </c>
      <c r="F221" s="180">
        <f>1*2*0.75*4.9</f>
        <v>7.3500000000000005</v>
      </c>
      <c r="G221" s="172" t="s">
        <v>210</v>
      </c>
      <c r="H221" s="105">
        <v>0</v>
      </c>
      <c r="I221" s="88">
        <f t="shared" si="6"/>
        <v>0</v>
      </c>
      <c r="J221" s="86"/>
    </row>
    <row r="222" spans="1:10" x14ac:dyDescent="0.2">
      <c r="A222" s="4">
        <f>IF(F222&lt;&gt;"",1+MAX($A$6:A221),"")</f>
        <v>157</v>
      </c>
      <c r="B222" s="168" t="s">
        <v>59</v>
      </c>
      <c r="C222" s="168"/>
      <c r="D222" s="170"/>
      <c r="E222" s="169" t="s">
        <v>191</v>
      </c>
      <c r="F222" s="180">
        <f>2*2*0.67*11.1</f>
        <v>29.748000000000001</v>
      </c>
      <c r="G222" s="172" t="s">
        <v>210</v>
      </c>
      <c r="H222" s="105">
        <v>0</v>
      </c>
      <c r="I222" s="88">
        <f t="shared" si="6"/>
        <v>0</v>
      </c>
      <c r="J222" s="86"/>
    </row>
    <row r="223" spans="1:10" x14ac:dyDescent="0.2">
      <c r="A223" s="4">
        <f>IF(F223&lt;&gt;"",1+MAX($A$6:A222),"")</f>
        <v>158</v>
      </c>
      <c r="B223" s="168" t="s">
        <v>59</v>
      </c>
      <c r="C223" s="168"/>
      <c r="D223" s="170"/>
      <c r="E223" s="169" t="s">
        <v>192</v>
      </c>
      <c r="F223" s="180">
        <f>129*0.67*2*1.8</f>
        <v>311.14800000000002</v>
      </c>
      <c r="G223" s="172" t="s">
        <v>210</v>
      </c>
      <c r="H223" s="105">
        <v>0</v>
      </c>
      <c r="I223" s="88">
        <f t="shared" si="6"/>
        <v>0</v>
      </c>
      <c r="J223" s="86"/>
    </row>
    <row r="224" spans="1:10" x14ac:dyDescent="0.2">
      <c r="A224" s="4" t="str">
        <f>IF(F224&lt;&gt;"",1+MAX($A$6:A223),"")</f>
        <v/>
      </c>
      <c r="B224" s="168"/>
      <c r="C224" s="168"/>
      <c r="D224" s="181"/>
      <c r="E224" s="169"/>
      <c r="F224" s="180"/>
      <c r="G224" s="172"/>
      <c r="H224" s="105"/>
      <c r="I224" s="88"/>
      <c r="J224" s="86"/>
    </row>
    <row r="225" spans="1:10" x14ac:dyDescent="0.2">
      <c r="A225" s="4" t="str">
        <f>IF(F225&lt;&gt;"",1+MAX($A$6:A224),"")</f>
        <v/>
      </c>
      <c r="B225" s="168"/>
      <c r="C225" s="168"/>
      <c r="D225" s="170"/>
      <c r="E225" s="179" t="s">
        <v>193</v>
      </c>
      <c r="F225" s="180"/>
      <c r="G225" s="172"/>
      <c r="H225" s="105"/>
      <c r="I225" s="88"/>
      <c r="J225" s="86"/>
    </row>
    <row r="226" spans="1:10" x14ac:dyDescent="0.2">
      <c r="A226" s="4">
        <f>IF(F226&lt;&gt;"",1+MAX($A$6:A225),"")</f>
        <v>159</v>
      </c>
      <c r="B226" s="168" t="s">
        <v>166</v>
      </c>
      <c r="C226" s="168"/>
      <c r="D226" s="170"/>
      <c r="E226" s="169" t="s">
        <v>194</v>
      </c>
      <c r="F226" s="180">
        <v>304</v>
      </c>
      <c r="G226" s="172" t="s">
        <v>17</v>
      </c>
      <c r="H226" s="105">
        <v>0</v>
      </c>
      <c r="I226" s="88">
        <f t="shared" si="6"/>
        <v>0</v>
      </c>
      <c r="J226" s="86"/>
    </row>
    <row r="227" spans="1:10" x14ac:dyDescent="0.2">
      <c r="A227" s="4" t="str">
        <f>IF(F227&lt;&gt;"",1+MAX($A$6:A226),"")</f>
        <v/>
      </c>
      <c r="B227" s="168"/>
      <c r="C227" s="168"/>
      <c r="D227" s="181"/>
      <c r="E227" s="169"/>
      <c r="F227" s="180"/>
      <c r="G227" s="172"/>
      <c r="H227" s="105"/>
      <c r="I227" s="88"/>
      <c r="J227" s="86"/>
    </row>
    <row r="228" spans="1:10" x14ac:dyDescent="0.2">
      <c r="A228" s="4" t="str">
        <f>IF(F228&lt;&gt;"",1+MAX($A$6:A227),"")</f>
        <v/>
      </c>
      <c r="B228" s="168"/>
      <c r="C228" s="168"/>
      <c r="D228" s="170"/>
      <c r="E228" s="179" t="s">
        <v>195</v>
      </c>
      <c r="F228" s="180"/>
      <c r="G228" s="172"/>
      <c r="H228" s="105"/>
      <c r="I228" s="88"/>
      <c r="J228" s="86"/>
    </row>
    <row r="229" spans="1:10" ht="31.5" x14ac:dyDescent="0.2">
      <c r="A229" s="4">
        <f>IF(F229&lt;&gt;"",1+MAX($A$6:A228),"")</f>
        <v>160</v>
      </c>
      <c r="B229" s="168" t="s">
        <v>166</v>
      </c>
      <c r="C229" s="168"/>
      <c r="D229" s="170"/>
      <c r="E229" s="171" t="s">
        <v>196</v>
      </c>
      <c r="F229" s="180">
        <v>32</v>
      </c>
      <c r="G229" s="173" t="s">
        <v>211</v>
      </c>
      <c r="H229" s="105">
        <v>0</v>
      </c>
      <c r="I229" s="88">
        <f t="shared" si="6"/>
        <v>0</v>
      </c>
      <c r="J229" s="86"/>
    </row>
    <row r="230" spans="1:10" ht="31.5" x14ac:dyDescent="0.2">
      <c r="A230" s="4">
        <f>IF(F230&lt;&gt;"",1+MAX($A$6:A229),"")</f>
        <v>161</v>
      </c>
      <c r="B230" s="168" t="s">
        <v>166</v>
      </c>
      <c r="C230" s="168"/>
      <c r="D230" s="170"/>
      <c r="E230" s="171" t="s">
        <v>197</v>
      </c>
      <c r="F230" s="180">
        <v>63</v>
      </c>
      <c r="G230" s="173" t="s">
        <v>211</v>
      </c>
      <c r="H230" s="105">
        <v>0</v>
      </c>
      <c r="I230" s="88">
        <f t="shared" si="6"/>
        <v>0</v>
      </c>
      <c r="J230" s="86"/>
    </row>
    <row r="231" spans="1:10" ht="31.5" x14ac:dyDescent="0.2">
      <c r="A231" s="4">
        <f>IF(F231&lt;&gt;"",1+MAX($A$6:A230),"")</f>
        <v>162</v>
      </c>
      <c r="B231" s="168" t="s">
        <v>166</v>
      </c>
      <c r="C231" s="168"/>
      <c r="D231" s="170"/>
      <c r="E231" s="171" t="s">
        <v>198</v>
      </c>
      <c r="F231" s="180">
        <v>34</v>
      </c>
      <c r="G231" s="173" t="s">
        <v>211</v>
      </c>
      <c r="H231" s="105">
        <v>0</v>
      </c>
      <c r="I231" s="88">
        <f t="shared" si="6"/>
        <v>0</v>
      </c>
      <c r="J231" s="86"/>
    </row>
    <row r="232" spans="1:10" ht="16.5" thickBot="1" x14ac:dyDescent="0.25">
      <c r="A232" s="4" t="str">
        <f>IF(F232&lt;&gt;"",1+MAX($A$6:A231),"")</f>
        <v/>
      </c>
      <c r="B232" s="168"/>
      <c r="C232" s="168"/>
      <c r="D232" s="168"/>
      <c r="E232" s="169"/>
      <c r="F232" s="180"/>
      <c r="G232" s="172"/>
      <c r="H232" s="105"/>
      <c r="I232" s="88"/>
      <c r="J232" s="86"/>
    </row>
    <row r="233" spans="1:10" ht="16.5" thickBot="1" x14ac:dyDescent="0.25">
      <c r="A233" s="4" t="str">
        <f>IF(F233&lt;&gt;"",1+MAX($A$6:A232),"")</f>
        <v/>
      </c>
      <c r="B233" s="182"/>
      <c r="C233" s="167"/>
      <c r="D233" s="183"/>
      <c r="E233" s="177" t="s">
        <v>199</v>
      </c>
      <c r="F233" s="178"/>
      <c r="G233" s="185"/>
      <c r="H233" s="105"/>
      <c r="I233" s="88"/>
      <c r="J233" s="86"/>
    </row>
    <row r="234" spans="1:10" x14ac:dyDescent="0.2">
      <c r="A234" s="4">
        <f>IF(F234&lt;&gt;"",1+MAX($A$6:A233),"")</f>
        <v>163</v>
      </c>
      <c r="B234" s="168" t="s">
        <v>166</v>
      </c>
      <c r="C234" s="168"/>
      <c r="D234" s="170"/>
      <c r="E234" s="169" t="s">
        <v>200</v>
      </c>
      <c r="F234" s="180">
        <f>(2)+(3*4)+(4*5)+(6*6)+(13*7)+(17*8)+(14*9)+(17*10)+(11*11)+(6*12)+(2*13)+(1*14)+(4*15)+(7*17)+(1*18)+(4*19)+(3*20)+(3*21)+(4*22)+(2*23)+(3*24)+(1*26)+(14*27)+(1*28)+(9*29)+(1*32)+(10*33)+(1*37)+(1*38)+(3*39)+(1*43)+(1*45)+(5*47)+(2*48)+(2*51)+(1*52)+(1*81)</f>
        <v>3329</v>
      </c>
      <c r="G234" s="172" t="s">
        <v>211</v>
      </c>
      <c r="H234" s="105">
        <v>0</v>
      </c>
      <c r="I234" s="88">
        <f t="shared" si="6"/>
        <v>0</v>
      </c>
      <c r="J234" s="86"/>
    </row>
    <row r="235" spans="1:10" x14ac:dyDescent="0.2">
      <c r="A235" s="4">
        <f>IF(F235&lt;&gt;"",1+MAX($A$6:A234),"")</f>
        <v>164</v>
      </c>
      <c r="B235" s="168" t="s">
        <v>166</v>
      </c>
      <c r="C235" s="168"/>
      <c r="D235" s="170"/>
      <c r="E235" s="171" t="s">
        <v>88</v>
      </c>
      <c r="F235" s="180">
        <f>((4*2+2*2+5*2+3*2+3*2+23*2)*3+(10*3+4*3+6*3+3*3+1*3+1*3+2*3+3*3)*4+(3*4+2*4+4*4+7*4+2*4+6*4+1*4+8*4+2*4+6*4)*4+(31+17+5+1+15+1+32+40)*2)*0.334</f>
        <v>514.36</v>
      </c>
      <c r="G235" s="172" t="s">
        <v>18</v>
      </c>
      <c r="H235" s="105">
        <v>0</v>
      </c>
      <c r="I235" s="88">
        <f t="shared" si="6"/>
        <v>0</v>
      </c>
      <c r="J235" s="86"/>
    </row>
    <row r="236" spans="1:10" x14ac:dyDescent="0.2">
      <c r="A236" s="4">
        <f>IF(F236&lt;&gt;"",1+MAX($A$6:A235),"")</f>
        <v>165</v>
      </c>
      <c r="B236" s="168" t="s">
        <v>166</v>
      </c>
      <c r="C236" s="168"/>
      <c r="D236" s="170"/>
      <c r="E236" s="171" t="s">
        <v>201</v>
      </c>
      <c r="F236" s="180">
        <f>(3*4+2*4+4*4+7*4+2*4+6*4+1*4+8*4+2*4+6*4)*2</f>
        <v>328</v>
      </c>
      <c r="G236" s="172" t="s">
        <v>211</v>
      </c>
      <c r="H236" s="105">
        <v>0</v>
      </c>
      <c r="I236" s="88">
        <f t="shared" si="6"/>
        <v>0</v>
      </c>
      <c r="J236" s="86"/>
    </row>
    <row r="237" spans="1:10" ht="31.5" x14ac:dyDescent="0.2">
      <c r="A237" s="4">
        <f>IF(F237&lt;&gt;"",1+MAX($A$6:A236),"")</f>
        <v>166</v>
      </c>
      <c r="B237" s="168" t="s">
        <v>166</v>
      </c>
      <c r="C237" s="168"/>
      <c r="D237" s="170"/>
      <c r="E237" s="171" t="s">
        <v>202</v>
      </c>
      <c r="F237" s="180">
        <f>(15*4+204*4+1*4+23*4+2*4+1*4)</f>
        <v>984</v>
      </c>
      <c r="G237" s="172" t="s">
        <v>211</v>
      </c>
      <c r="H237" s="105">
        <v>0</v>
      </c>
      <c r="I237" s="88">
        <f t="shared" si="6"/>
        <v>0</v>
      </c>
      <c r="J237" s="86"/>
    </row>
    <row r="238" spans="1:10" ht="31.5" x14ac:dyDescent="0.2">
      <c r="A238" s="4">
        <f>IF(F238&lt;&gt;"",1+MAX($A$6:A237),"")</f>
        <v>167</v>
      </c>
      <c r="B238" s="168" t="s">
        <v>166</v>
      </c>
      <c r="C238" s="168"/>
      <c r="D238" s="170"/>
      <c r="E238" s="171" t="s">
        <v>203</v>
      </c>
      <c r="F238" s="180">
        <f>(24*4+22*4+1*4)</f>
        <v>188</v>
      </c>
      <c r="G238" s="172" t="s">
        <v>211</v>
      </c>
      <c r="H238" s="105">
        <v>0</v>
      </c>
      <c r="I238" s="88">
        <f t="shared" si="6"/>
        <v>0</v>
      </c>
      <c r="J238" s="86"/>
    </row>
    <row r="239" spans="1:10" ht="31.5" x14ac:dyDescent="0.2">
      <c r="A239" s="4">
        <f>IF(F239&lt;&gt;"",1+MAX($A$6:A238),"")</f>
        <v>168</v>
      </c>
      <c r="B239" s="168" t="s">
        <v>166</v>
      </c>
      <c r="C239" s="168"/>
      <c r="D239" s="170"/>
      <c r="E239" s="171" t="s">
        <v>204</v>
      </c>
      <c r="F239" s="180">
        <f>(26*4+2*4+17*4+7*4)</f>
        <v>208</v>
      </c>
      <c r="G239" s="172" t="s">
        <v>211</v>
      </c>
      <c r="H239" s="105">
        <v>0</v>
      </c>
      <c r="I239" s="88">
        <f t="shared" si="6"/>
        <v>0</v>
      </c>
      <c r="J239" s="86"/>
    </row>
    <row r="240" spans="1:10" ht="31.5" x14ac:dyDescent="0.2">
      <c r="A240" s="4">
        <f>IF(F240&lt;&gt;"",1+MAX($A$6:A239),"")</f>
        <v>169</v>
      </c>
      <c r="B240" s="168" t="s">
        <v>166</v>
      </c>
      <c r="C240" s="168"/>
      <c r="D240" s="170"/>
      <c r="E240" s="171" t="s">
        <v>205</v>
      </c>
      <c r="F240" s="180">
        <f>(12*4+2*4+9*4+3*4)</f>
        <v>104</v>
      </c>
      <c r="G240" s="172" t="s">
        <v>211</v>
      </c>
      <c r="H240" s="105">
        <v>0</v>
      </c>
      <c r="I240" s="88">
        <f t="shared" si="6"/>
        <v>0</v>
      </c>
      <c r="J240" s="86"/>
    </row>
    <row r="241" spans="1:63" ht="31.5" x14ac:dyDescent="0.2">
      <c r="A241" s="4">
        <f>IF(F241&lt;&gt;"",1+MAX($A$6:A240),"")</f>
        <v>170</v>
      </c>
      <c r="B241" s="168" t="s">
        <v>166</v>
      </c>
      <c r="C241" s="168"/>
      <c r="D241" s="170"/>
      <c r="E241" s="171" t="s">
        <v>206</v>
      </c>
      <c r="F241" s="180">
        <f>(9*4+3*4+1*4+2*4)</f>
        <v>60</v>
      </c>
      <c r="G241" s="172" t="s">
        <v>211</v>
      </c>
      <c r="H241" s="105">
        <v>0</v>
      </c>
      <c r="I241" s="88">
        <f t="shared" si="6"/>
        <v>0</v>
      </c>
      <c r="J241" s="86"/>
    </row>
    <row r="242" spans="1:63" ht="16.5" thickBot="1" x14ac:dyDescent="0.25">
      <c r="A242" s="4" t="str">
        <f>IF(F242&lt;&gt;"",1+MAX($A$6:A241),"")</f>
        <v/>
      </c>
      <c r="B242" s="168"/>
      <c r="C242" s="168"/>
      <c r="D242" s="168"/>
      <c r="E242" s="169"/>
      <c r="F242" s="180"/>
      <c r="G242" s="172"/>
      <c r="H242" s="105"/>
      <c r="I242" s="88"/>
      <c r="J242" s="86"/>
    </row>
    <row r="243" spans="1:63" ht="16.5" thickBot="1" x14ac:dyDescent="0.25">
      <c r="A243" s="4" t="str">
        <f>IF(F243&lt;&gt;"",1+MAX($A$6:A242),"")</f>
        <v/>
      </c>
      <c r="B243" s="182"/>
      <c r="C243" s="167"/>
      <c r="D243" s="183"/>
      <c r="E243" s="177" t="s">
        <v>207</v>
      </c>
      <c r="F243" s="180"/>
      <c r="G243" s="185"/>
      <c r="H243" s="105"/>
      <c r="I243" s="88"/>
      <c r="J243" s="86"/>
    </row>
    <row r="244" spans="1:63" ht="31.5" x14ac:dyDescent="0.2">
      <c r="A244" s="4">
        <f>IF(F244&lt;&gt;"",1+MAX($A$6:A243),"")</f>
        <v>171</v>
      </c>
      <c r="B244" s="168" t="s">
        <v>166</v>
      </c>
      <c r="C244" s="168"/>
      <c r="D244" s="170"/>
      <c r="E244" s="169" t="s">
        <v>208</v>
      </c>
      <c r="F244" s="180">
        <v>1</v>
      </c>
      <c r="G244" s="172" t="s">
        <v>21</v>
      </c>
      <c r="H244" s="105">
        <v>0</v>
      </c>
      <c r="I244" s="88">
        <f t="shared" si="6"/>
        <v>0</v>
      </c>
      <c r="J244" s="86"/>
    </row>
    <row r="245" spans="1:63" x14ac:dyDescent="0.2">
      <c r="A245" s="4">
        <f>IF(F245&lt;&gt;"",1+MAX($A$6:A244),"")</f>
        <v>172</v>
      </c>
      <c r="B245" s="168" t="s">
        <v>166</v>
      </c>
      <c r="C245" s="168"/>
      <c r="D245" s="181"/>
      <c r="E245" s="169" t="s">
        <v>209</v>
      </c>
      <c r="F245" s="180">
        <f>608417*0.08</f>
        <v>48673.36</v>
      </c>
      <c r="G245" s="172" t="s">
        <v>210</v>
      </c>
      <c r="H245" s="105">
        <v>0</v>
      </c>
      <c r="I245" s="88">
        <f t="shared" si="6"/>
        <v>0</v>
      </c>
      <c r="J245" s="86"/>
    </row>
    <row r="246" spans="1:63" ht="16.5" thickBot="1" x14ac:dyDescent="0.25">
      <c r="A246" s="96" t="str">
        <f>IF(F246&lt;&gt;"",1+MAX($A$6:A245),"")</f>
        <v/>
      </c>
      <c r="B246" s="97"/>
      <c r="C246" s="98"/>
      <c r="D246" s="99"/>
      <c r="E246" s="100"/>
      <c r="F246" s="166"/>
      <c r="G246" s="97"/>
      <c r="H246" s="102"/>
      <c r="I246" s="103"/>
      <c r="J246" s="104"/>
    </row>
    <row r="247" spans="1:63" ht="16.5" thickBot="1" x14ac:dyDescent="0.25">
      <c r="A247" s="194" t="s">
        <v>214</v>
      </c>
      <c r="B247" s="195"/>
      <c r="C247" s="195"/>
      <c r="D247" s="195"/>
      <c r="E247" s="195"/>
      <c r="F247" s="195"/>
      <c r="G247" s="195"/>
      <c r="H247" s="195"/>
      <c r="I247" s="196"/>
      <c r="J247" s="37">
        <f>(SUM(I23:I246))</f>
        <v>0</v>
      </c>
      <c r="K247" s="51"/>
      <c r="L247" s="51"/>
      <c r="M247" s="51"/>
      <c r="N247" s="51"/>
      <c r="O247" s="51"/>
      <c r="P247" s="51"/>
      <c r="Q247" s="51"/>
      <c r="R247" s="51"/>
      <c r="S247" s="51"/>
      <c r="T247" s="51"/>
      <c r="U247" s="51"/>
      <c r="V247" s="51"/>
      <c r="W247" s="51"/>
      <c r="X247" s="51"/>
      <c r="Y247" s="51"/>
      <c r="Z247" s="51"/>
      <c r="AA247" s="51"/>
      <c r="AB247" s="51"/>
      <c r="AC247" s="51"/>
      <c r="AD247" s="51"/>
      <c r="AE247" s="51"/>
      <c r="AF247" s="51"/>
      <c r="AG247" s="51"/>
      <c r="AH247" s="51"/>
      <c r="AI247" s="51"/>
      <c r="AJ247" s="51"/>
      <c r="AK247" s="51"/>
      <c r="AL247" s="51"/>
      <c r="AM247" s="51"/>
      <c r="AN247" s="51"/>
      <c r="AO247" s="51"/>
      <c r="AP247" s="51"/>
      <c r="AQ247" s="51"/>
      <c r="AR247" s="51"/>
      <c r="AS247" s="51"/>
      <c r="AT247" s="51"/>
      <c r="AU247" s="51"/>
      <c r="AV247" s="51"/>
      <c r="AW247" s="51"/>
      <c r="AX247" s="51"/>
      <c r="AY247" s="51"/>
      <c r="AZ247" s="51"/>
      <c r="BA247" s="51"/>
      <c r="BB247" s="51"/>
      <c r="BC247" s="51"/>
      <c r="BD247" s="51"/>
      <c r="BE247" s="51"/>
      <c r="BF247" s="51"/>
      <c r="BG247" s="51"/>
      <c r="BH247" s="51"/>
      <c r="BI247" s="51"/>
      <c r="BJ247" s="51"/>
      <c r="BK247" s="51"/>
    </row>
    <row r="248" spans="1:63" ht="16.5" thickBot="1" x14ac:dyDescent="0.25">
      <c r="A248" s="89"/>
      <c r="B248" s="90"/>
      <c r="C248" s="90"/>
      <c r="D248" s="90"/>
      <c r="E248" s="91"/>
      <c r="F248" s="92"/>
      <c r="G248" s="89"/>
      <c r="H248" s="93"/>
      <c r="I248" s="94"/>
      <c r="J248" s="95"/>
    </row>
    <row r="249" spans="1:63" s="64" customFormat="1" ht="16.5" thickBot="1" x14ac:dyDescent="0.25">
      <c r="A249" s="205" t="s">
        <v>25</v>
      </c>
      <c r="B249" s="206"/>
      <c r="C249" s="206"/>
      <c r="D249" s="206"/>
      <c r="E249" s="206"/>
      <c r="F249" s="206"/>
      <c r="G249" s="206"/>
      <c r="H249" s="207"/>
      <c r="I249" s="199">
        <f>J20+J247</f>
        <v>0</v>
      </c>
      <c r="J249" s="20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</row>
    <row r="250" spans="1:63" s="64" customFormat="1" ht="16.5" thickBot="1" x14ac:dyDescent="0.25">
      <c r="A250" s="150" t="s">
        <v>20</v>
      </c>
      <c r="B250" s="151"/>
      <c r="C250" s="151"/>
      <c r="D250" s="151"/>
      <c r="E250" s="151"/>
      <c r="F250" s="151"/>
      <c r="G250" s="151"/>
      <c r="H250" s="151"/>
      <c r="I250" s="201">
        <f>I249</f>
        <v>0</v>
      </c>
      <c r="J250" s="202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</row>
    <row r="251" spans="1:63" s="64" customFormat="1" ht="16.5" thickBot="1" x14ac:dyDescent="0.25">
      <c r="A251" s="150" t="s">
        <v>26</v>
      </c>
      <c r="B251" s="151"/>
      <c r="C251" s="151"/>
      <c r="D251" s="151"/>
      <c r="E251" s="151"/>
      <c r="F251" s="151"/>
      <c r="G251" s="151"/>
      <c r="H251" s="112">
        <v>0.25</v>
      </c>
      <c r="I251" s="201">
        <f>I249*H251</f>
        <v>0</v>
      </c>
      <c r="J251" s="202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</row>
    <row r="252" spans="1:63" s="64" customFormat="1" ht="16.5" thickBot="1" x14ac:dyDescent="0.25">
      <c r="A252" s="150" t="s">
        <v>27</v>
      </c>
      <c r="B252" s="151"/>
      <c r="C252" s="151"/>
      <c r="D252" s="151"/>
      <c r="E252" s="151"/>
      <c r="F252" s="151"/>
      <c r="G252" s="151"/>
      <c r="H252" s="112">
        <v>0.03</v>
      </c>
      <c r="I252" s="201">
        <f>I249*H252</f>
        <v>0</v>
      </c>
      <c r="J252" s="202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</row>
    <row r="253" spans="1:63" s="64" customFormat="1" ht="16.5" thickBot="1" x14ac:dyDescent="0.25">
      <c r="A253" s="150" t="s">
        <v>28</v>
      </c>
      <c r="B253" s="151"/>
      <c r="C253" s="151"/>
      <c r="D253" s="151"/>
      <c r="E253" s="151"/>
      <c r="F253" s="151"/>
      <c r="G253" s="151"/>
      <c r="H253" s="112">
        <v>7.0000000000000007E-2</v>
      </c>
      <c r="I253" s="203">
        <f>I249*H253</f>
        <v>0</v>
      </c>
      <c r="J253" s="204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</row>
    <row r="254" spans="1:63" s="61" customFormat="1" ht="16.5" thickBot="1" x14ac:dyDescent="0.25">
      <c r="A254" s="205" t="s">
        <v>3</v>
      </c>
      <c r="B254" s="206"/>
      <c r="C254" s="206"/>
      <c r="D254" s="206"/>
      <c r="E254" s="206"/>
      <c r="F254" s="206"/>
      <c r="G254" s="206"/>
      <c r="H254" s="206"/>
      <c r="I254" s="197">
        <f>SUM(I250:J253)</f>
        <v>0</v>
      </c>
      <c r="J254" s="198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</row>
    <row r="255" spans="1:63" x14ac:dyDescent="0.2">
      <c r="A255" s="40" t="s">
        <v>15</v>
      </c>
      <c r="B255" s="41"/>
      <c r="C255" s="41"/>
      <c r="D255" s="41"/>
      <c r="E255" s="42"/>
      <c r="F255" s="43"/>
      <c r="G255" s="41"/>
      <c r="H255" s="45"/>
      <c r="I255" s="44"/>
      <c r="J255" s="68"/>
    </row>
    <row r="256" spans="1:63" ht="16.5" thickBot="1" x14ac:dyDescent="0.25">
      <c r="A256" s="52"/>
      <c r="B256" s="22"/>
      <c r="C256" s="22"/>
      <c r="D256" s="22"/>
      <c r="E256" s="23"/>
      <c r="F256" s="24"/>
      <c r="G256" s="22"/>
      <c r="H256" s="25"/>
      <c r="I256" s="26"/>
      <c r="J256" s="69"/>
    </row>
    <row r="277" spans="8:8" x14ac:dyDescent="0.2">
      <c r="H277" s="15"/>
    </row>
  </sheetData>
  <mergeCells count="12">
    <mergeCell ref="A8:J8"/>
    <mergeCell ref="A20:I20"/>
    <mergeCell ref="A22:J22"/>
    <mergeCell ref="A247:I247"/>
    <mergeCell ref="I254:J254"/>
    <mergeCell ref="I249:J249"/>
    <mergeCell ref="I250:J250"/>
    <mergeCell ref="I251:J251"/>
    <mergeCell ref="I252:J252"/>
    <mergeCell ref="I253:J253"/>
    <mergeCell ref="A249:H249"/>
    <mergeCell ref="A254:H254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