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filterPrivacy="1" codeName="ThisWorkbook" defaultThemeVersion="124226"/>
  <xr:revisionPtr revIDLastSave="0" documentId="13_ncr:1_{194086EC-2B3C-4834-90AD-3FF1BAE3ABE0}" xr6:coauthVersionLast="47" xr6:coauthVersionMax="47" xr10:uidLastSave="{00000000-0000-0000-0000-000000000000}"/>
  <bookViews>
    <workbookView xWindow="-120" yWindow="-120" windowWidth="24240" windowHeight="13140" activeTab="1" xr2:uid="{00000000-000D-0000-FFFF-FFFF00000000}"/>
  </bookViews>
  <sheets>
    <sheet name="SUMMARY" sheetId="19" r:id="rId1"/>
    <sheet name="SITE ESTIMATE" sheetId="16" r:id="rId2"/>
  </sheets>
  <definedNames>
    <definedName name="_xlnm._FilterDatabase" localSheetId="1" hidden="1">'SITE ESTIMATE'!$E$1:$G$209</definedName>
    <definedName name="_xlnm.Print_Area" localSheetId="1">'SITE ESTIMATE'!$A$1:$J$133</definedName>
    <definedName name="_xlnm.Print_Area" localSheetId="0">SUMMARY!$A$1:$D$26</definedName>
    <definedName name="_xlnm.Print_Titles" localSheetId="1">'SITE ESTIMATE'!$1:$6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1" i="16" l="1"/>
  <c r="F120" i="16"/>
  <c r="F119" i="16"/>
  <c r="I119" i="16" s="1"/>
  <c r="F118" i="16"/>
  <c r="I118" i="16" s="1"/>
  <c r="F115" i="16"/>
  <c r="F114" i="16"/>
  <c r="I114" i="16" s="1"/>
  <c r="F112" i="16"/>
  <c r="F109" i="16"/>
  <c r="I109" i="16" s="1"/>
  <c r="F105" i="16"/>
  <c r="F108" i="16" s="1"/>
  <c r="I108" i="16" s="1"/>
  <c r="D103" i="16"/>
  <c r="F101" i="16"/>
  <c r="I101" i="16" s="1"/>
  <c r="F97" i="16"/>
  <c r="F99" i="16" s="1"/>
  <c r="I99" i="16" s="1"/>
  <c r="D95" i="16"/>
  <c r="F91" i="16"/>
  <c r="F90" i="16"/>
  <c r="F89" i="16"/>
  <c r="I89" i="16" s="1"/>
  <c r="F86" i="16"/>
  <c r="I86" i="16" s="1"/>
  <c r="F85" i="16"/>
  <c r="F84" i="16"/>
  <c r="F83" i="16"/>
  <c r="F80" i="16"/>
  <c r="F79" i="16"/>
  <c r="F78" i="16"/>
  <c r="F77" i="16"/>
  <c r="I77" i="16" s="1"/>
  <c r="F74" i="16"/>
  <c r="I74" i="16" s="1"/>
  <c r="F73" i="16"/>
  <c r="F72" i="16"/>
  <c r="F71" i="16"/>
  <c r="I71" i="16" s="1"/>
  <c r="F63" i="16"/>
  <c r="I63" i="16" s="1"/>
  <c r="F62" i="16"/>
  <c r="F61" i="16"/>
  <c r="I61" i="16" s="1"/>
  <c r="F60" i="16"/>
  <c r="F56" i="16"/>
  <c r="I56" i="16" s="1"/>
  <c r="F55" i="16"/>
  <c r="F54" i="16"/>
  <c r="I54" i="16" s="1"/>
  <c r="F53" i="16"/>
  <c r="F49" i="16"/>
  <c r="I49" i="16" s="1"/>
  <c r="F48" i="16"/>
  <c r="F47" i="16"/>
  <c r="F46" i="16"/>
  <c r="I46" i="16" s="1"/>
  <c r="F42" i="16"/>
  <c r="F43" i="16" s="1"/>
  <c r="I43" i="16" s="1"/>
  <c r="F41" i="16"/>
  <c r="F40" i="16"/>
  <c r="F39" i="16"/>
  <c r="I39" i="16" s="1"/>
  <c r="F36" i="16"/>
  <c r="I36" i="16" s="1"/>
  <c r="F35" i="16"/>
  <c r="F34" i="16"/>
  <c r="F33" i="16"/>
  <c r="I33" i="16" s="1"/>
  <c r="F32" i="16"/>
  <c r="I32" i="16" s="1"/>
  <c r="F28" i="16"/>
  <c r="F27" i="16"/>
  <c r="I27" i="16" s="1"/>
  <c r="F26" i="16"/>
  <c r="F25" i="16"/>
  <c r="F29" i="16" s="1"/>
  <c r="I29" i="16" s="1"/>
  <c r="I34" i="16"/>
  <c r="I35" i="16"/>
  <c r="I40" i="16"/>
  <c r="I41" i="16"/>
  <c r="I47" i="16"/>
  <c r="I48" i="16"/>
  <c r="I53" i="16"/>
  <c r="I55" i="16"/>
  <c r="I60" i="16"/>
  <c r="I62" i="16"/>
  <c r="I67" i="16"/>
  <c r="I72" i="16"/>
  <c r="I73" i="16"/>
  <c r="I78" i="16"/>
  <c r="I79" i="16"/>
  <c r="I80" i="16"/>
  <c r="I83" i="16"/>
  <c r="I84" i="16"/>
  <c r="I85" i="16"/>
  <c r="I90" i="16"/>
  <c r="I91" i="16"/>
  <c r="I95" i="16"/>
  <c r="I96" i="16"/>
  <c r="I103" i="16"/>
  <c r="I104" i="16"/>
  <c r="I105" i="16"/>
  <c r="I112" i="16"/>
  <c r="I113" i="16"/>
  <c r="I115" i="16"/>
  <c r="I120" i="16"/>
  <c r="I121" i="16"/>
  <c r="I26" i="16"/>
  <c r="I28" i="16"/>
  <c r="A24" i="16"/>
  <c r="A23" i="16"/>
  <c r="F57" i="16" l="1"/>
  <c r="I57" i="16" s="1"/>
  <c r="I25" i="16"/>
  <c r="F100" i="16"/>
  <c r="I100" i="16" s="1"/>
  <c r="F106" i="16"/>
  <c r="I106" i="16" s="1"/>
  <c r="F64" i="16"/>
  <c r="I64" i="16" s="1"/>
  <c r="F107" i="16"/>
  <c r="I107" i="16" s="1"/>
  <c r="F122" i="16"/>
  <c r="I122" i="16" s="1"/>
  <c r="I42" i="16"/>
  <c r="F50" i="16"/>
  <c r="I50" i="16" s="1"/>
  <c r="F98" i="16"/>
  <c r="I98" i="16" s="1"/>
  <c r="I97" i="16"/>
  <c r="I9" i="16"/>
  <c r="I11" i="16"/>
  <c r="I12" i="16"/>
  <c r="I13" i="16"/>
  <c r="I14" i="16"/>
  <c r="I15" i="16"/>
  <c r="I16" i="16"/>
  <c r="I17" i="16"/>
  <c r="I18" i="16"/>
  <c r="J124" i="16" l="1"/>
  <c r="A19" i="16"/>
  <c r="I10" i="16"/>
  <c r="A9" i="16"/>
  <c r="B12" i="19"/>
  <c r="B11" i="19"/>
  <c r="A123" i="16"/>
  <c r="A10" i="16" l="1"/>
  <c r="A11" i="16" s="1"/>
  <c r="A12" i="16" s="1"/>
  <c r="J20" i="16"/>
  <c r="C16" i="19" l="1"/>
  <c r="D16" i="19" s="1"/>
  <c r="A13" i="16"/>
  <c r="I126" i="16"/>
  <c r="A14" i="16" l="1"/>
  <c r="C17" i="19"/>
  <c r="D17" i="19" s="1"/>
  <c r="A15" i="16" l="1"/>
  <c r="A16" i="16" l="1"/>
  <c r="A17" i="16" l="1"/>
  <c r="A18" i="16" s="1"/>
  <c r="A25" i="16" s="1"/>
  <c r="A26" i="16" l="1"/>
  <c r="C18" i="19"/>
  <c r="I128" i="16"/>
  <c r="I127" i="16"/>
  <c r="I130" i="16"/>
  <c r="I129" i="16"/>
  <c r="A27" i="16" l="1"/>
  <c r="D18" i="19"/>
  <c r="D20" i="19" s="1"/>
  <c r="C20" i="19"/>
  <c r="C21" i="19" s="1"/>
  <c r="I131" i="16"/>
  <c r="C5" i="16" s="1"/>
  <c r="A28" i="16" l="1"/>
  <c r="C23" i="19"/>
  <c r="C22" i="19"/>
  <c r="C24" i="19"/>
  <c r="A29" i="16" l="1"/>
  <c r="D25" i="19"/>
  <c r="A114" i="16" l="1"/>
  <c r="A115" i="16" l="1"/>
  <c r="A116" i="16" l="1"/>
  <c r="A117" i="16" s="1"/>
  <c r="A118" i="16" l="1"/>
  <c r="A119" i="16" l="1"/>
  <c r="A120" i="16" s="1"/>
  <c r="A121" i="16" s="1"/>
  <c r="A122" i="16" l="1"/>
</calcChain>
</file>

<file path=xl/sharedStrings.xml><?xml version="1.0" encoding="utf-8"?>
<sst xmlns="http://schemas.openxmlformats.org/spreadsheetml/2006/main" count="370" uniqueCount="115">
  <si>
    <t>UNIT</t>
  </si>
  <si>
    <t>DESCRIPTION</t>
  </si>
  <si>
    <t>UNIT COST</t>
  </si>
  <si>
    <t>TOTAL BASE BID</t>
  </si>
  <si>
    <t>TOTAL COST</t>
  </si>
  <si>
    <t>PROJECT</t>
  </si>
  <si>
    <t>ADDRESS</t>
  </si>
  <si>
    <t>Date of submission</t>
  </si>
  <si>
    <t>Date of plans</t>
  </si>
  <si>
    <t>SR #</t>
  </si>
  <si>
    <t>SUB TOTALS</t>
  </si>
  <si>
    <t>Sheet
No.</t>
  </si>
  <si>
    <t>Detail
No.</t>
  </si>
  <si>
    <t>CSI
No.</t>
  </si>
  <si>
    <t>QTY.</t>
  </si>
  <si>
    <t>Exclusions</t>
  </si>
  <si>
    <t>Next Tab For Detailed Estimate</t>
  </si>
  <si>
    <t>SF</t>
  </si>
  <si>
    <t>LF</t>
  </si>
  <si>
    <t>SITE ESTIMATE</t>
  </si>
  <si>
    <t>SUBTOTAL</t>
  </si>
  <si>
    <t>LS</t>
  </si>
  <si>
    <t>-</t>
  </si>
  <si>
    <t>DIVISION NO.</t>
  </si>
  <si>
    <t>COST/ SF</t>
  </si>
  <si>
    <t>TOTAL TRADE COST</t>
  </si>
  <si>
    <t>OVERHEADS &amp; PROFITS</t>
  </si>
  <si>
    <t>INSURANCES</t>
  </si>
  <si>
    <t>CONTIGENCY</t>
  </si>
  <si>
    <t>PROJECT INFO:</t>
  </si>
  <si>
    <t>DATE:</t>
  </si>
  <si>
    <t>PROJECT ID:</t>
  </si>
  <si>
    <t>SCOPE:</t>
  </si>
  <si>
    <t>AREA SUMMARY:</t>
  </si>
  <si>
    <t>BUILDING GSF</t>
  </si>
  <si>
    <t>No. of Floors:</t>
  </si>
  <si>
    <t>SUMMARY</t>
  </si>
  <si>
    <t>TOTAL PROJECT COST</t>
  </si>
  <si>
    <t>TOTAL PROPOSED BID</t>
  </si>
  <si>
    <t>AMOUNT</t>
  </si>
  <si>
    <t>Project Manager</t>
  </si>
  <si>
    <t>Field Superintendent</t>
  </si>
  <si>
    <t>Bonds</t>
  </si>
  <si>
    <t>Permitting</t>
  </si>
  <si>
    <t>Mobilization Cost</t>
  </si>
  <si>
    <t>Temp Fencing, Toilets, Utilities</t>
  </si>
  <si>
    <t>Jobsite Signage, Trailer, Security</t>
  </si>
  <si>
    <t>Dumpsters, Tools</t>
  </si>
  <si>
    <t>Clean-up</t>
  </si>
  <si>
    <t>Procore, Web Cameras</t>
  </si>
  <si>
    <t>DIVISION 01 -  GENERAL REQUIREMENTS</t>
  </si>
  <si>
    <t>Subtotal (General Requirements)</t>
  </si>
  <si>
    <t>Division 01</t>
  </si>
  <si>
    <t>General Requirements</t>
  </si>
  <si>
    <t>General Construction (GC) Takeoff Divisions</t>
  </si>
  <si>
    <t>EA</t>
  </si>
  <si>
    <t>DIVISION 03 -  CONCRETE</t>
  </si>
  <si>
    <t>Subtotal (Concrete)</t>
  </si>
  <si>
    <t>Division 03</t>
  </si>
  <si>
    <t>Concrete</t>
  </si>
  <si>
    <t>PAD FOOTING</t>
  </si>
  <si>
    <t>Item: F5x13
Length: 13'-0"
Width: 5'-0"
Depth: 2'-6"
Count: 01 EA</t>
  </si>
  <si>
    <t>S2.0</t>
  </si>
  <si>
    <t>Plan sch</t>
  </si>
  <si>
    <t>Concrete (4000 Psi)</t>
  </si>
  <si>
    <t>#7 @ 10" O.C. EW TB</t>
  </si>
  <si>
    <t>Formwork (Pad Footing)</t>
  </si>
  <si>
    <t>Excavation Using Hydraulic Backhoe 1/2 C.Y.</t>
  </si>
  <si>
    <t>Backfill</t>
  </si>
  <si>
    <t>Item: F6
Length: 6'-0"
Width: 6'-0"
Depth: 2'-0"
Count: 03 EA</t>
  </si>
  <si>
    <t>6#7 EW TB</t>
  </si>
  <si>
    <t>Item: F6x24x30"
Length: 24'-0"
Width: 6'-0"
Depth: 2'-6"
Count: 03 EA</t>
  </si>
  <si>
    <t>Item: F6x21x30"
Length: 21'-0"
Width: 6'
Depth: 2'-6"
Count: 01 EA</t>
  </si>
  <si>
    <t>Item: F7
Length: 7'-0"
Width: 7'-0"
Depth: 2'-0"
Count: 02 EA</t>
  </si>
  <si>
    <t>7#7 EW TB</t>
  </si>
  <si>
    <t>Item: F8
Length: 8'-0"
Width: 8'-0"
Depth: 2'-0"
Count: 01 EA</t>
  </si>
  <si>
    <t>Column Isolation Joints</t>
  </si>
  <si>
    <t>CONCRETE PIER</t>
  </si>
  <si>
    <t>Item: P1(Structural Pier)
Length: 2'-0"
Width: 2'-0"
Depth: 1'-8"
Count: 08 EA</t>
  </si>
  <si>
    <t>4#6 Hair pin</t>
  </si>
  <si>
    <t>#3 @ 6" O.C. Ties</t>
  </si>
  <si>
    <t>Formwork (Pier)</t>
  </si>
  <si>
    <t>Item: P2(Structural Pier)
Length: 3'-6"
Width: 3'-6"
Depth: 1'-8"
Count: 08 EA</t>
  </si>
  <si>
    <t>6#5+8#5 Hair pin</t>
  </si>
  <si>
    <t>#4 @ 6" O.C. Ties</t>
  </si>
  <si>
    <t>Item: P3(Non-Structural Pier)
Length: 3'-5"
Width: 2'-3 1/2"
Depth: 3'-0"
Count: 01 EA</t>
  </si>
  <si>
    <t>3#3 Dowels</t>
  </si>
  <si>
    <t>#3 @ 12" O.C. Ties</t>
  </si>
  <si>
    <t>Item: P4(Non-Structural Pier)
Length: 3'-5"
Width: 3'-0"
Depth: 3'-0"
Count: 01 EA</t>
  </si>
  <si>
    <t>#5 @ 12" O.C.</t>
  </si>
  <si>
    <t>SLAB ON GRADE</t>
  </si>
  <si>
    <t>4" Thick Slab On Grade</t>
  </si>
  <si>
    <t xml:space="preserve">4" Thick Slab On Grade (4000 Psi) W/
- 6x6 W1.4xW1.4 </t>
  </si>
  <si>
    <t>4" Edge Form</t>
  </si>
  <si>
    <t>15 Mil Vapor Barrier</t>
  </si>
  <si>
    <t>Assumed</t>
  </si>
  <si>
    <t>4" Aggregate Base</t>
  </si>
  <si>
    <t>Termite Treatment</t>
  </si>
  <si>
    <t>Control Joint</t>
  </si>
  <si>
    <t>Expansion Joint</t>
  </si>
  <si>
    <t>6" Thick slab on grade</t>
  </si>
  <si>
    <t xml:space="preserve">6" Thick Slab On Grade (4000 Psi) W/
- 6x6 W1.4xW1.4 </t>
  </si>
  <si>
    <t>6" Edge form</t>
  </si>
  <si>
    <t>THICKENED EDGE</t>
  </si>
  <si>
    <t>6,7/S5.0</t>
  </si>
  <si>
    <t>4" Edge form</t>
  </si>
  <si>
    <t>1#5 Cont</t>
  </si>
  <si>
    <t>2#4x4'</t>
  </si>
  <si>
    <t>TURN DOWN</t>
  </si>
  <si>
    <t>10,11/S5.0</t>
  </si>
  <si>
    <t>Formwork (Turn Down)</t>
  </si>
  <si>
    <t>2#5 Cont</t>
  </si>
  <si>
    <t>CY</t>
  </si>
  <si>
    <t>LB</t>
  </si>
  <si>
    <t>SFCA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</si>
</sst>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_(&quot;$&quot;* #,##0_);_(&quot;$&quot;* \(#,##0\);_(&quot;$&quot;* &quot;-&quot;?_);_(@_)"/>
    <numFmt numFmtId="167" formatCode="_(&quot;$&quot;* #,##0.00_);_(&quot;$&quot;* \(#,##0.00\);_(&quot;$&quot;* &quot;-&quot;?_);_(@_)"/>
    <numFmt numFmtId="168" formatCode="0.0000000"/>
    <numFmt numFmtId="169" formatCode="0\ &quot;CY&quot;"/>
    <numFmt numFmtId="170" formatCode="0.0%"/>
    <numFmt numFmtId="171" formatCode="&quot;$&quot;#,##0.00"/>
    <numFmt numFmtId="172" formatCode="mm/dd/yy;@"/>
  </numFmts>
  <fonts count="51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Verdana"/>
      <family val="2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2"/>
      <color theme="10"/>
      <name val="Arial"/>
      <family val="2"/>
    </font>
    <font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Verdana"/>
      <family val="2"/>
    </font>
    <font>
      <b/>
      <i/>
      <sz val="12"/>
      <color rgb="FF00206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name val="Calibri"/>
      <family val="2"/>
      <scheme val="minor"/>
    </font>
    <font>
      <b/>
      <i/>
      <sz val="12"/>
      <color rgb="FFFF0000"/>
      <name val="Calibri"/>
      <family val="2"/>
      <scheme val="minor"/>
    </font>
    <font>
      <b/>
      <i/>
      <sz val="12"/>
      <name val="Times New Roman"/>
      <family val="1"/>
    </font>
    <font>
      <sz val="12"/>
      <name val="Arial"/>
    </font>
    <font>
      <b/>
      <sz val="12"/>
      <color theme="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sz val="12"/>
      <color theme="0"/>
      <name val="Times New Roman"/>
      <family val="1"/>
    </font>
    <font>
      <b/>
      <i/>
      <sz val="12"/>
      <color rgb="FFFF0000"/>
      <name val="Times New Roman"/>
      <family val="1"/>
    </font>
    <font>
      <b/>
      <i/>
      <sz val="12"/>
      <color rgb="FFFF512C"/>
      <name val="Times New Roman"/>
      <family val="1"/>
    </font>
    <font>
      <b/>
      <i/>
      <sz val="12"/>
      <color theme="5" tint="-0.249977111117893"/>
      <name val="Times New Roman"/>
      <family val="1"/>
    </font>
    <font>
      <b/>
      <sz val="12"/>
      <color rgb="FF0000CC"/>
      <name val="Calibri"/>
      <family val="2"/>
      <scheme val="minor"/>
    </font>
    <font>
      <b/>
      <sz val="12"/>
      <color rgb="FF0000B3"/>
      <name val="Calibri"/>
      <family val="2"/>
      <scheme val="minor"/>
    </font>
    <font>
      <b/>
      <u/>
      <sz val="12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rgb="FFFED2DC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6666"/>
        <bgColor indexed="64"/>
      </patternFill>
    </fill>
    <fill>
      <patternFill patternType="solid">
        <fgColor rgb="FF0000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theme="2" tint="-9.9978637043366805E-2"/>
        <bgColor indexed="64"/>
      </patternFill>
    </fill>
  </fills>
  <borders count="3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0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9" fillId="3" borderId="0" applyNumberFormat="0" applyBorder="0" applyAlignment="0" applyProtection="0"/>
    <xf numFmtId="0" fontId="10" fillId="20" borderId="1" applyNumberFormat="0" applyAlignment="0" applyProtection="0"/>
    <xf numFmtId="0" fontId="11" fillId="21" borderId="2" applyNumberFormat="0" applyAlignment="0" applyProtection="0"/>
    <xf numFmtId="0" fontId="12" fillId="0" borderId="0" applyNumberFormat="0" applyFill="0" applyBorder="0" applyAlignment="0" applyProtection="0"/>
    <xf numFmtId="0" fontId="13" fillId="4" borderId="0" applyNumberFormat="0" applyBorder="0" applyAlignment="0" applyProtection="0"/>
    <xf numFmtId="0" fontId="14" fillId="0" borderId="3" applyNumberFormat="0" applyFill="0" applyAlignment="0" applyProtection="0"/>
    <xf numFmtId="0" fontId="15" fillId="0" borderId="4" applyNumberFormat="0" applyFill="0" applyAlignment="0" applyProtection="0"/>
    <xf numFmtId="0" fontId="16" fillId="0" borderId="5" applyNumberFormat="0" applyFill="0" applyAlignment="0" applyProtection="0"/>
    <xf numFmtId="0" fontId="16" fillId="0" borderId="0" applyNumberFormat="0" applyFill="0" applyBorder="0" applyAlignment="0" applyProtection="0"/>
    <xf numFmtId="0" fontId="17" fillId="7" borderId="1" applyNumberFormat="0" applyAlignment="0" applyProtection="0"/>
    <xf numFmtId="0" fontId="18" fillId="0" borderId="6" applyNumberFormat="0" applyFill="0" applyAlignment="0" applyProtection="0"/>
    <xf numFmtId="0" fontId="19" fillId="22" borderId="0" applyNumberFormat="0" applyBorder="0" applyAlignment="0" applyProtection="0"/>
    <xf numFmtId="0" fontId="6" fillId="0" borderId="0"/>
    <xf numFmtId="0" fontId="6" fillId="23" borderId="7" applyNumberFormat="0" applyFont="0" applyAlignment="0" applyProtection="0"/>
    <xf numFmtId="0" fontId="20" fillId="20" borderId="8" applyNumberForma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0" borderId="0" applyNumberFormat="0" applyFill="0" applyBorder="0" applyAlignment="0" applyProtection="0"/>
    <xf numFmtId="0" fontId="4" fillId="0" borderId="0"/>
    <xf numFmtId="0" fontId="24" fillId="0" borderId="0"/>
    <xf numFmtId="0" fontId="6" fillId="0" borderId="0"/>
    <xf numFmtId="43" fontId="24" fillId="0" borderId="0" applyFont="0" applyFill="0" applyBorder="0" applyAlignment="0" applyProtection="0"/>
    <xf numFmtId="0" fontId="25" fillId="0" borderId="0"/>
    <xf numFmtId="43" fontId="6" fillId="0" borderId="0" applyFont="0" applyFill="0" applyBorder="0" applyAlignment="0" applyProtection="0"/>
    <xf numFmtId="0" fontId="6" fillId="0" borderId="0"/>
    <xf numFmtId="44" fontId="25" fillId="0" borderId="0" applyFont="0" applyFill="0" applyBorder="0" applyAlignment="0" applyProtection="0"/>
    <xf numFmtId="0" fontId="3" fillId="0" borderId="0"/>
    <xf numFmtId="0" fontId="6" fillId="0" borderId="0"/>
    <xf numFmtId="0" fontId="3" fillId="0" borderId="0"/>
    <xf numFmtId="0" fontId="29" fillId="0" borderId="0" applyNumberFormat="0" applyFill="0" applyBorder="0" applyAlignment="0" applyProtection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2" fillId="0" borderId="0"/>
    <xf numFmtId="0" fontId="1" fillId="0" borderId="0"/>
    <xf numFmtId="44" fontId="39" fillId="0" borderId="0" applyFont="0" applyFill="0" applyBorder="0" applyAlignment="0" applyProtection="0"/>
  </cellStyleXfs>
  <cellXfs count="202">
    <xf numFmtId="0" fontId="0" fillId="0" borderId="0" xfId="0"/>
    <xf numFmtId="14" fontId="26" fillId="24" borderId="0" xfId="0" applyNumberFormat="1" applyFont="1" applyFill="1" applyAlignment="1">
      <alignment horizontal="left" vertical="top"/>
    </xf>
    <xf numFmtId="0" fontId="26" fillId="24" borderId="10" xfId="45" applyFont="1" applyFill="1" applyBorder="1" applyAlignment="1">
      <alignment horizontal="center" vertical="top" wrapText="1"/>
    </xf>
    <xf numFmtId="0" fontId="26" fillId="0" borderId="0" xfId="45" applyFont="1" applyAlignment="1">
      <alignment vertical="top"/>
    </xf>
    <xf numFmtId="0" fontId="26" fillId="0" borderId="10" xfId="45" applyFont="1" applyBorder="1" applyAlignment="1">
      <alignment horizontal="center" vertical="top"/>
    </xf>
    <xf numFmtId="165" fontId="27" fillId="24" borderId="0" xfId="55" applyNumberFormat="1" applyFont="1" applyFill="1" applyBorder="1" applyAlignment="1" applyProtection="1">
      <alignment horizontal="left" vertical="top"/>
    </xf>
    <xf numFmtId="0" fontId="27" fillId="24" borderId="0" xfId="0" applyFont="1" applyFill="1" applyAlignment="1">
      <alignment horizontal="left" vertical="top"/>
    </xf>
    <xf numFmtId="2" fontId="5" fillId="24" borderId="11" xfId="45" applyNumberFormat="1" applyFont="1" applyFill="1" applyBorder="1" applyAlignment="1">
      <alignment vertical="top"/>
    </xf>
    <xf numFmtId="2" fontId="27" fillId="24" borderId="11" xfId="45" applyNumberFormat="1" applyFont="1" applyFill="1" applyBorder="1" applyAlignment="1">
      <alignment horizontal="left" vertical="top"/>
    </xf>
    <xf numFmtId="2" fontId="5" fillId="24" borderId="0" xfId="45" applyNumberFormat="1" applyFont="1" applyFill="1" applyAlignment="1">
      <alignment vertical="top"/>
    </xf>
    <xf numFmtId="0" fontId="26" fillId="24" borderId="0" xfId="45" applyFont="1" applyFill="1" applyAlignment="1">
      <alignment vertical="top"/>
    </xf>
    <xf numFmtId="2" fontId="27" fillId="24" borderId="0" xfId="45" applyNumberFormat="1" applyFont="1" applyFill="1" applyAlignment="1">
      <alignment horizontal="left" vertical="top"/>
    </xf>
    <xf numFmtId="0" fontId="31" fillId="25" borderId="0" xfId="45" applyFont="1" applyFill="1" applyAlignment="1">
      <alignment vertical="top"/>
    </xf>
    <xf numFmtId="0" fontId="26" fillId="24" borderId="10" xfId="45" applyFont="1" applyFill="1" applyBorder="1" applyAlignment="1">
      <alignment horizontal="center" vertical="top"/>
    </xf>
    <xf numFmtId="0" fontId="26" fillId="0" borderId="0" xfId="45" applyFont="1" applyAlignment="1">
      <alignment horizontal="center" vertical="top"/>
    </xf>
    <xf numFmtId="2" fontId="26" fillId="0" borderId="0" xfId="45" applyNumberFormat="1" applyFont="1" applyAlignment="1">
      <alignment horizontal="left" vertical="top" wrapText="1"/>
    </xf>
    <xf numFmtId="1" fontId="26" fillId="0" borderId="0" xfId="45" applyNumberFormat="1" applyFont="1" applyAlignment="1">
      <alignment horizontal="center" vertical="top" wrapText="1"/>
    </xf>
    <xf numFmtId="44" fontId="26" fillId="0" borderId="0" xfId="55" applyFont="1" applyBorder="1" applyAlignment="1">
      <alignment horizontal="center" vertical="top"/>
    </xf>
    <xf numFmtId="164" fontId="26" fillId="0" borderId="0" xfId="45" applyNumberFormat="1" applyFont="1" applyAlignment="1">
      <alignment vertical="top"/>
    </xf>
    <xf numFmtId="0" fontId="26" fillId="0" borderId="12" xfId="45" applyFont="1" applyBorder="1" applyAlignment="1">
      <alignment horizontal="center" vertical="top"/>
    </xf>
    <xf numFmtId="2" fontId="29" fillId="24" borderId="0" xfId="54" applyNumberFormat="1" applyFill="1" applyBorder="1" applyAlignment="1">
      <alignment horizontal="center" vertical="top"/>
    </xf>
    <xf numFmtId="0" fontId="26" fillId="24" borderId="17" xfId="45" applyFont="1" applyFill="1" applyBorder="1" applyAlignment="1">
      <alignment vertical="top"/>
    </xf>
    <xf numFmtId="0" fontId="26" fillId="0" borderId="21" xfId="45" applyFont="1" applyBorder="1" applyAlignment="1">
      <alignment horizontal="center" vertical="top"/>
    </xf>
    <xf numFmtId="2" fontId="26" fillId="0" borderId="21" xfId="45" applyNumberFormat="1" applyFont="1" applyBorder="1" applyAlignment="1">
      <alignment horizontal="left" vertical="top" wrapText="1"/>
    </xf>
    <xf numFmtId="1" fontId="26" fillId="0" borderId="21" xfId="45" applyNumberFormat="1" applyFont="1" applyBorder="1" applyAlignment="1">
      <alignment horizontal="center" vertical="top" wrapText="1"/>
    </xf>
    <xf numFmtId="44" fontId="26" fillId="0" borderId="21" xfId="55" applyFont="1" applyBorder="1" applyAlignment="1">
      <alignment horizontal="center" vertical="top"/>
    </xf>
    <xf numFmtId="164" fontId="26" fillId="0" borderId="21" xfId="45" applyNumberFormat="1" applyFont="1" applyBorder="1" applyAlignment="1">
      <alignment vertical="top"/>
    </xf>
    <xf numFmtId="169" fontId="36" fillId="24" borderId="10" xfId="45" applyNumberFormat="1" applyFont="1" applyFill="1" applyBorder="1" applyAlignment="1">
      <alignment horizontal="center" vertical="top" wrapText="1"/>
    </xf>
    <xf numFmtId="0" fontId="26" fillId="24" borderId="22" xfId="45" applyFont="1" applyFill="1" applyBorder="1" applyAlignment="1">
      <alignment vertical="top"/>
    </xf>
    <xf numFmtId="0" fontId="6" fillId="0" borderId="0" xfId="45"/>
    <xf numFmtId="0" fontId="27" fillId="24" borderId="0" xfId="45" applyFont="1" applyFill="1" applyAlignment="1">
      <alignment horizontal="left" vertical="top"/>
    </xf>
    <xf numFmtId="0" fontId="27" fillId="24" borderId="17" xfId="45" applyFont="1" applyFill="1" applyBorder="1" applyAlignment="1">
      <alignment horizontal="left" vertical="top"/>
    </xf>
    <xf numFmtId="14" fontId="26" fillId="24" borderId="0" xfId="45" applyNumberFormat="1" applyFont="1" applyFill="1" applyAlignment="1">
      <alignment horizontal="left" vertical="top"/>
    </xf>
    <xf numFmtId="14" fontId="26" fillId="24" borderId="17" xfId="45" applyNumberFormat="1" applyFont="1" applyFill="1" applyBorder="1" applyAlignment="1">
      <alignment horizontal="left" vertical="top"/>
    </xf>
    <xf numFmtId="0" fontId="6" fillId="24" borderId="0" xfId="45" applyFill="1"/>
    <xf numFmtId="0" fontId="6" fillId="0" borderId="17" xfId="45" applyBorder="1"/>
    <xf numFmtId="0" fontId="6" fillId="0" borderId="18" xfId="45" applyBorder="1"/>
    <xf numFmtId="165" fontId="35" fillId="26" borderId="16" xfId="45" applyNumberFormat="1" applyFont="1" applyFill="1" applyBorder="1" applyAlignment="1">
      <alignment horizontal="left" vertical="top"/>
    </xf>
    <xf numFmtId="0" fontId="27" fillId="24" borderId="11" xfId="45" applyFont="1" applyFill="1" applyBorder="1" applyAlignment="1">
      <alignment vertical="top"/>
    </xf>
    <xf numFmtId="168" fontId="26" fillId="24" borderId="0" xfId="45" applyNumberFormat="1" applyFont="1" applyFill="1" applyAlignment="1">
      <alignment vertical="top"/>
    </xf>
    <xf numFmtId="0" fontId="34" fillId="0" borderId="24" xfId="45" applyFont="1" applyBorder="1" applyAlignment="1">
      <alignment horizontal="left" vertical="top"/>
    </xf>
    <xf numFmtId="0" fontId="26" fillId="0" borderId="11" xfId="45" applyFont="1" applyBorder="1" applyAlignment="1">
      <alignment horizontal="center" vertical="top"/>
    </xf>
    <xf numFmtId="2" fontId="26" fillId="0" borderId="11" xfId="45" applyNumberFormat="1" applyFont="1" applyBorder="1" applyAlignment="1">
      <alignment horizontal="left" vertical="top" wrapText="1"/>
    </xf>
    <xf numFmtId="1" fontId="26" fillId="0" borderId="11" xfId="45" applyNumberFormat="1" applyFont="1" applyBorder="1" applyAlignment="1">
      <alignment horizontal="center" vertical="top" wrapText="1"/>
    </xf>
    <xf numFmtId="164" fontId="26" fillId="0" borderId="11" xfId="45" applyNumberFormat="1" applyFont="1" applyBorder="1" applyAlignment="1">
      <alignment vertical="top"/>
    </xf>
    <xf numFmtId="44" fontId="26" fillId="0" borderId="11" xfId="55" applyFont="1" applyBorder="1" applyAlignment="1">
      <alignment horizontal="center" vertical="top"/>
    </xf>
    <xf numFmtId="2" fontId="42" fillId="24" borderId="11" xfId="45" applyNumberFormat="1" applyFont="1" applyFill="1" applyBorder="1" applyAlignment="1">
      <alignment horizontal="left" vertical="top"/>
    </xf>
    <xf numFmtId="2" fontId="43" fillId="24" borderId="11" xfId="45" applyNumberFormat="1" applyFont="1" applyFill="1" applyBorder="1" applyAlignment="1">
      <alignment vertical="top"/>
    </xf>
    <xf numFmtId="0" fontId="41" fillId="0" borderId="0" xfId="45" applyFont="1"/>
    <xf numFmtId="0" fontId="41" fillId="0" borderId="21" xfId="45" applyFont="1" applyBorder="1"/>
    <xf numFmtId="0" fontId="47" fillId="0" borderId="21" xfId="45" applyFont="1" applyBorder="1"/>
    <xf numFmtId="44" fontId="26" fillId="24" borderId="0" xfId="45" applyNumberFormat="1" applyFont="1" applyFill="1" applyAlignment="1">
      <alignment vertical="top"/>
    </xf>
    <xf numFmtId="0" fontId="34" fillId="0" borderId="23" xfId="45" applyFont="1" applyBorder="1" applyAlignment="1">
      <alignment horizontal="left" vertical="top"/>
    </xf>
    <xf numFmtId="2" fontId="42" fillId="24" borderId="12" xfId="0" applyNumberFormat="1" applyFont="1" applyFill="1" applyBorder="1" applyAlignment="1">
      <alignment horizontal="left" vertical="top"/>
    </xf>
    <xf numFmtId="0" fontId="41" fillId="24" borderId="17" xfId="0" applyFont="1" applyFill="1" applyBorder="1" applyAlignment="1">
      <alignment horizontal="center" vertical="top"/>
    </xf>
    <xf numFmtId="0" fontId="42" fillId="24" borderId="0" xfId="0" applyFont="1" applyFill="1" applyAlignment="1">
      <alignment horizontal="left" vertical="top"/>
    </xf>
    <xf numFmtId="0" fontId="41" fillId="24" borderId="12" xfId="0" applyFont="1" applyFill="1" applyBorder="1" applyAlignment="1">
      <alignment horizontal="left" vertical="top"/>
    </xf>
    <xf numFmtId="14" fontId="41" fillId="24" borderId="0" xfId="0" applyNumberFormat="1" applyFont="1" applyFill="1" applyAlignment="1">
      <alignment horizontal="left" vertical="top"/>
    </xf>
    <xf numFmtId="0" fontId="42" fillId="24" borderId="12" xfId="0" applyFont="1" applyFill="1" applyBorder="1" applyAlignment="1">
      <alignment horizontal="left" vertical="top"/>
    </xf>
    <xf numFmtId="165" fontId="42" fillId="24" borderId="0" xfId="55" applyNumberFormat="1" applyFont="1" applyFill="1" applyBorder="1" applyAlignment="1" applyProtection="1">
      <alignment horizontal="left" vertical="top"/>
    </xf>
    <xf numFmtId="2" fontId="45" fillId="24" borderId="0" xfId="45" applyNumberFormat="1" applyFont="1" applyFill="1" applyAlignment="1">
      <alignment vertical="top"/>
    </xf>
    <xf numFmtId="0" fontId="26" fillId="28" borderId="0" xfId="45" applyFont="1" applyFill="1" applyAlignment="1">
      <alignment vertical="top"/>
    </xf>
    <xf numFmtId="0" fontId="26" fillId="28" borderId="11" xfId="45" applyFont="1" applyFill="1" applyBorder="1" applyAlignment="1">
      <alignment vertical="top"/>
    </xf>
    <xf numFmtId="0" fontId="30" fillId="28" borderId="0" xfId="45" applyFont="1" applyFill="1" applyAlignment="1">
      <alignment horizontal="center" vertical="top" wrapText="1"/>
    </xf>
    <xf numFmtId="0" fontId="26" fillId="27" borderId="0" xfId="45" applyFont="1" applyFill="1" applyAlignment="1">
      <alignment vertical="top"/>
    </xf>
    <xf numFmtId="0" fontId="30" fillId="24" borderId="0" xfId="45" applyFont="1" applyFill="1" applyAlignment="1">
      <alignment horizontal="center" vertical="top" wrapText="1"/>
    </xf>
    <xf numFmtId="0" fontId="31" fillId="24" borderId="0" xfId="45" applyFont="1" applyFill="1" applyAlignment="1">
      <alignment vertical="top"/>
    </xf>
    <xf numFmtId="14" fontId="33" fillId="24" borderId="0" xfId="45" applyNumberFormat="1" applyFont="1" applyFill="1" applyAlignment="1">
      <alignment horizontal="left" vertical="top"/>
    </xf>
    <xf numFmtId="0" fontId="26" fillId="24" borderId="11" xfId="45" applyFont="1" applyFill="1" applyBorder="1" applyAlignment="1">
      <alignment vertical="top"/>
    </xf>
    <xf numFmtId="0" fontId="26" fillId="24" borderId="21" xfId="45" applyFont="1" applyFill="1" applyBorder="1" applyAlignment="1">
      <alignment vertical="top"/>
    </xf>
    <xf numFmtId="2" fontId="40" fillId="29" borderId="19" xfId="0" applyNumberFormat="1" applyFont="1" applyFill="1" applyBorder="1" applyAlignment="1">
      <alignment horizontal="left" vertical="top"/>
    </xf>
    <xf numFmtId="2" fontId="40" fillId="29" borderId="14" xfId="0" applyNumberFormat="1" applyFont="1" applyFill="1" applyBorder="1" applyAlignment="1">
      <alignment horizontal="left" vertical="top"/>
    </xf>
    <xf numFmtId="2" fontId="40" fillId="29" borderId="14" xfId="0" applyNumberFormat="1" applyFont="1" applyFill="1" applyBorder="1" applyAlignment="1">
      <alignment vertical="top"/>
    </xf>
    <xf numFmtId="2" fontId="32" fillId="29" borderId="14" xfId="0" applyNumberFormat="1" applyFont="1" applyFill="1" applyBorder="1" applyAlignment="1">
      <alignment vertical="top"/>
    </xf>
    <xf numFmtId="2" fontId="32" fillId="29" borderId="14" xfId="45" applyNumberFormat="1" applyFont="1" applyFill="1" applyBorder="1" applyAlignment="1">
      <alignment horizontal="center" vertical="top"/>
    </xf>
    <xf numFmtId="2" fontId="30" fillId="29" borderId="14" xfId="45" applyNumberFormat="1" applyFont="1" applyFill="1" applyBorder="1" applyAlignment="1">
      <alignment horizontal="center" vertical="top"/>
    </xf>
    <xf numFmtId="44" fontId="30" fillId="29" borderId="14" xfId="55" applyFont="1" applyFill="1" applyBorder="1" applyAlignment="1">
      <alignment horizontal="center" vertical="top"/>
    </xf>
    <xf numFmtId="0" fontId="28" fillId="30" borderId="19" xfId="45" applyFont="1" applyFill="1" applyBorder="1" applyAlignment="1">
      <alignment horizontal="center" vertical="top" wrapText="1"/>
    </xf>
    <xf numFmtId="1" fontId="28" fillId="30" borderId="14" xfId="45" applyNumberFormat="1" applyFont="1" applyFill="1" applyBorder="1" applyAlignment="1">
      <alignment horizontal="center" vertical="top" wrapText="1"/>
    </xf>
    <xf numFmtId="0" fontId="28" fillId="30" borderId="14" xfId="45" applyFont="1" applyFill="1" applyBorder="1" applyAlignment="1">
      <alignment horizontal="center" vertical="top" wrapText="1"/>
    </xf>
    <xf numFmtId="164" fontId="28" fillId="30" borderId="14" xfId="45" applyNumberFormat="1" applyFont="1" applyFill="1" applyBorder="1" applyAlignment="1">
      <alignment horizontal="center" vertical="top" wrapText="1"/>
    </xf>
    <xf numFmtId="0" fontId="28" fillId="24" borderId="12" xfId="45" applyFont="1" applyFill="1" applyBorder="1" applyAlignment="1">
      <alignment horizontal="center" vertical="top" wrapText="1"/>
    </xf>
    <xf numFmtId="1" fontId="28" fillId="24" borderId="0" xfId="45" applyNumberFormat="1" applyFont="1" applyFill="1" applyBorder="1" applyAlignment="1">
      <alignment horizontal="center" vertical="top" wrapText="1"/>
    </xf>
    <xf numFmtId="164" fontId="28" fillId="24" borderId="0" xfId="45" applyNumberFormat="1" applyFont="1" applyFill="1" applyBorder="1" applyAlignment="1">
      <alignment horizontal="center" vertical="top" wrapText="1"/>
    </xf>
    <xf numFmtId="1" fontId="28" fillId="24" borderId="11" xfId="45" applyNumberFormat="1" applyFont="1" applyFill="1" applyBorder="1" applyAlignment="1">
      <alignment horizontal="center" vertical="top" wrapText="1"/>
    </xf>
    <xf numFmtId="0" fontId="28" fillId="24" borderId="11" xfId="45" applyFont="1" applyFill="1" applyBorder="1" applyAlignment="1">
      <alignment horizontal="center" vertical="top" wrapText="1"/>
    </xf>
    <xf numFmtId="166" fontId="27" fillId="24" borderId="0" xfId="45" applyNumberFormat="1" applyFont="1" applyFill="1" applyBorder="1" applyAlignment="1">
      <alignment horizontal="center" vertical="top"/>
    </xf>
    <xf numFmtId="0" fontId="26" fillId="0" borderId="13" xfId="45" applyFont="1" applyBorder="1" applyAlignment="1">
      <alignment horizontal="center" vertical="top"/>
    </xf>
    <xf numFmtId="165" fontId="26" fillId="0" borderId="10" xfId="45" applyNumberFormat="1" applyFont="1" applyBorder="1" applyAlignment="1">
      <alignment horizontal="center" vertical="top"/>
    </xf>
    <xf numFmtId="0" fontId="26" fillId="0" borderId="0" xfId="45" applyFont="1" applyBorder="1" applyAlignment="1">
      <alignment horizontal="center" vertical="top"/>
    </xf>
    <xf numFmtId="1" fontId="27" fillId="0" borderId="0" xfId="45" applyNumberFormat="1" applyFont="1" applyBorder="1" applyAlignment="1">
      <alignment horizontal="left" vertical="top"/>
    </xf>
    <xf numFmtId="0" fontId="26" fillId="0" borderId="0" xfId="45" applyFont="1" applyBorder="1" applyAlignment="1">
      <alignment horizontal="left" vertical="top" wrapText="1"/>
    </xf>
    <xf numFmtId="1" fontId="26" fillId="0" borderId="0" xfId="45" applyNumberFormat="1" applyFont="1" applyBorder="1" applyAlignment="1">
      <alignment horizontal="center" vertical="top"/>
    </xf>
    <xf numFmtId="44" fontId="26" fillId="0" borderId="0" xfId="55" applyFont="1" applyFill="1" applyBorder="1" applyAlignment="1">
      <alignment horizontal="center" vertical="top"/>
    </xf>
    <xf numFmtId="164" fontId="26" fillId="0" borderId="0" xfId="45" applyNumberFormat="1" applyFont="1" applyBorder="1" applyAlignment="1">
      <alignment vertical="top"/>
    </xf>
    <xf numFmtId="0" fontId="31" fillId="24" borderId="0" xfId="45" applyFont="1" applyFill="1" applyBorder="1" applyAlignment="1">
      <alignment vertical="top"/>
    </xf>
    <xf numFmtId="0" fontId="26" fillId="0" borderId="25" xfId="45" applyFont="1" applyBorder="1" applyAlignment="1">
      <alignment horizontal="center" vertical="top"/>
    </xf>
    <xf numFmtId="0" fontId="26" fillId="24" borderId="25" xfId="45" applyFont="1" applyFill="1" applyBorder="1" applyAlignment="1">
      <alignment horizontal="center" vertical="top"/>
    </xf>
    <xf numFmtId="0" fontId="26" fillId="24" borderId="25" xfId="45" applyFont="1" applyFill="1" applyBorder="1" applyAlignment="1">
      <alignment horizontal="center" vertical="top" wrapText="1"/>
    </xf>
    <xf numFmtId="1" fontId="26" fillId="24" borderId="25" xfId="45" applyNumberFormat="1" applyFont="1" applyFill="1" applyBorder="1" applyAlignment="1">
      <alignment horizontal="right" vertical="top"/>
    </xf>
    <xf numFmtId="0" fontId="37" fillId="0" borderId="25" xfId="45" applyFont="1" applyBorder="1" applyAlignment="1">
      <alignment vertical="top" wrapText="1"/>
    </xf>
    <xf numFmtId="41" fontId="26" fillId="24" borderId="25" xfId="45" applyNumberFormat="1" applyFont="1" applyFill="1" applyBorder="1" applyAlignment="1">
      <alignment horizontal="center" vertical="top"/>
    </xf>
    <xf numFmtId="167" fontId="26" fillId="24" borderId="25" xfId="45" applyNumberFormat="1" applyFont="1" applyFill="1" applyBorder="1" applyAlignment="1">
      <alignment horizontal="center" vertical="top"/>
    </xf>
    <xf numFmtId="165" fontId="26" fillId="24" borderId="25" xfId="45" applyNumberFormat="1" applyFont="1" applyFill="1" applyBorder="1" applyAlignment="1">
      <alignment horizontal="center" vertical="top"/>
    </xf>
    <xf numFmtId="165" fontId="26" fillId="24" borderId="0" xfId="45" applyNumberFormat="1" applyFont="1" applyFill="1" applyBorder="1" applyAlignment="1">
      <alignment horizontal="center" vertical="top"/>
    </xf>
    <xf numFmtId="44" fontId="26" fillId="0" borderId="10" xfId="55" applyFont="1" applyFill="1" applyBorder="1" applyAlignment="1" applyProtection="1">
      <alignment horizontal="center" vertical="top"/>
    </xf>
    <xf numFmtId="44" fontId="26" fillId="0" borderId="13" xfId="55" applyFont="1" applyFill="1" applyBorder="1" applyAlignment="1">
      <alignment horizontal="center" vertical="top"/>
    </xf>
    <xf numFmtId="166" fontId="27" fillId="0" borderId="13" xfId="45" applyNumberFormat="1" applyFont="1" applyBorder="1" applyAlignment="1">
      <alignment horizontal="center" vertical="top"/>
    </xf>
    <xf numFmtId="0" fontId="28" fillId="32" borderId="19" xfId="0" applyFont="1" applyFill="1" applyBorder="1" applyAlignment="1">
      <alignment horizontal="center" vertical="center"/>
    </xf>
    <xf numFmtId="49" fontId="27" fillId="0" borderId="26" xfId="0" applyNumberFormat="1" applyFont="1" applyBorder="1" applyAlignment="1">
      <alignment horizontal="center" vertical="center"/>
    </xf>
    <xf numFmtId="165" fontId="35" fillId="33" borderId="16" xfId="59" applyNumberFormat="1" applyFont="1" applyFill="1" applyBorder="1" applyAlignment="1">
      <alignment vertical="center"/>
    </xf>
    <xf numFmtId="0" fontId="35" fillId="33" borderId="16" xfId="59" applyNumberFormat="1" applyFont="1" applyFill="1" applyBorder="1" applyAlignment="1">
      <alignment vertical="center"/>
    </xf>
    <xf numFmtId="9" fontId="35" fillId="33" borderId="0" xfId="0" applyNumberFormat="1" applyFont="1" applyFill="1" applyAlignment="1">
      <alignment horizontal="center" vertical="center"/>
    </xf>
    <xf numFmtId="0" fontId="35" fillId="31" borderId="24" xfId="0" applyFont="1" applyFill="1" applyBorder="1" applyAlignment="1">
      <alignment vertical="center"/>
    </xf>
    <xf numFmtId="171" fontId="35" fillId="31" borderId="11" xfId="0" applyNumberFormat="1" applyFont="1" applyFill="1" applyBorder="1" applyAlignment="1">
      <alignment horizontal="center" vertical="center"/>
    </xf>
    <xf numFmtId="0" fontId="27" fillId="31" borderId="22" xfId="45" applyFont="1" applyFill="1" applyBorder="1" applyAlignment="1">
      <alignment horizontal="left" vertical="top"/>
    </xf>
    <xf numFmtId="0" fontId="35" fillId="31" borderId="12" xfId="0" applyFont="1" applyFill="1" applyBorder="1" applyAlignment="1">
      <alignment vertical="center"/>
    </xf>
    <xf numFmtId="9" fontId="35" fillId="31" borderId="0" xfId="0" applyNumberFormat="1" applyFont="1" applyFill="1" applyBorder="1" applyAlignment="1">
      <alignment horizontal="center" vertical="center"/>
    </xf>
    <xf numFmtId="171" fontId="35" fillId="31" borderId="0" xfId="0" applyNumberFormat="1" applyFont="1" applyFill="1" applyBorder="1" applyAlignment="1">
      <alignment horizontal="center" vertical="center"/>
    </xf>
    <xf numFmtId="14" fontId="26" fillId="31" borderId="17" xfId="45" applyNumberFormat="1" applyFont="1" applyFill="1" applyBorder="1" applyAlignment="1">
      <alignment horizontal="left" vertical="top"/>
    </xf>
    <xf numFmtId="14" fontId="26" fillId="31" borderId="18" xfId="45" applyNumberFormat="1" applyFont="1" applyFill="1" applyBorder="1" applyAlignment="1">
      <alignment horizontal="left" vertical="top"/>
    </xf>
    <xf numFmtId="49" fontId="41" fillId="0" borderId="19" xfId="45" applyNumberFormat="1" applyFont="1" applyBorder="1" applyAlignment="1">
      <alignment vertical="top" wrapText="1"/>
    </xf>
    <xf numFmtId="49" fontId="41" fillId="0" borderId="14" xfId="45" applyNumberFormat="1" applyFont="1" applyBorder="1" applyAlignment="1">
      <alignment vertical="top" wrapText="1"/>
    </xf>
    <xf numFmtId="49" fontId="41" fillId="0" borderId="20" xfId="45" applyNumberFormat="1" applyFont="1" applyBorder="1" applyAlignment="1">
      <alignment vertical="top" wrapText="1"/>
    </xf>
    <xf numFmtId="0" fontId="49" fillId="24" borderId="12" xfId="0" applyFont="1" applyFill="1" applyBorder="1" applyAlignment="1">
      <alignment horizontal="left" vertical="center"/>
    </xf>
    <xf numFmtId="0" fontId="27" fillId="24" borderId="12" xfId="0" applyFont="1" applyFill="1" applyBorder="1" applyAlignment="1">
      <alignment vertical="center"/>
    </xf>
    <xf numFmtId="0" fontId="27" fillId="24" borderId="12" xfId="0" applyFont="1" applyFill="1" applyBorder="1" applyAlignment="1">
      <alignment horizontal="left" vertical="center"/>
    </xf>
    <xf numFmtId="0" fontId="31" fillId="24" borderId="23" xfId="0" applyFont="1" applyFill="1" applyBorder="1"/>
    <xf numFmtId="0" fontId="34" fillId="31" borderId="27" xfId="0" applyFont="1" applyFill="1" applyBorder="1" applyAlignment="1">
      <alignment horizontal="left" vertical="center"/>
    </xf>
    <xf numFmtId="0" fontId="34" fillId="31" borderId="19" xfId="0" applyFont="1" applyFill="1" applyBorder="1" applyAlignment="1">
      <alignment horizontal="left" vertical="center"/>
    </xf>
    <xf numFmtId="0" fontId="49" fillId="24" borderId="24" xfId="0" applyFont="1" applyFill="1" applyBorder="1" applyAlignment="1">
      <alignment horizontal="left" vertical="center"/>
    </xf>
    <xf numFmtId="2" fontId="43" fillId="24" borderId="0" xfId="45" applyNumberFormat="1" applyFont="1" applyFill="1" applyBorder="1" applyAlignment="1">
      <alignment vertical="top"/>
    </xf>
    <xf numFmtId="14" fontId="44" fillId="24" borderId="0" xfId="45" applyNumberFormat="1" applyFont="1" applyFill="1" applyBorder="1" applyAlignment="1">
      <alignment vertical="top"/>
    </xf>
    <xf numFmtId="0" fontId="45" fillId="0" borderId="12" xfId="45" applyFont="1" applyBorder="1" applyAlignment="1">
      <alignment horizontal="left" vertical="top"/>
    </xf>
    <xf numFmtId="0" fontId="41" fillId="0" borderId="0" xfId="45" applyFont="1" applyBorder="1"/>
    <xf numFmtId="2" fontId="38" fillId="24" borderId="0" xfId="45" applyNumberFormat="1" applyFont="1" applyFill="1" applyBorder="1" applyAlignment="1">
      <alignment vertical="top"/>
    </xf>
    <xf numFmtId="0" fontId="44" fillId="24" borderId="0" xfId="45" applyFont="1" applyFill="1" applyBorder="1" applyAlignment="1">
      <alignment horizontal="left"/>
    </xf>
    <xf numFmtId="166" fontId="42" fillId="24" borderId="0" xfId="45" applyNumberFormat="1" applyFont="1" applyFill="1" applyBorder="1" applyAlignment="1">
      <alignment horizontal="left" vertical="top"/>
    </xf>
    <xf numFmtId="172" fontId="28" fillId="32" borderId="16" xfId="0" applyNumberFormat="1" applyFont="1" applyFill="1" applyBorder="1" applyAlignment="1">
      <alignment horizontal="center" vertical="center"/>
    </xf>
    <xf numFmtId="165" fontId="31" fillId="31" borderId="16" xfId="0" applyNumberFormat="1" applyFont="1" applyFill="1" applyBorder="1"/>
    <xf numFmtId="14" fontId="27" fillId="24" borderId="0" xfId="0" applyNumberFormat="1" applyFont="1" applyFill="1" applyBorder="1" applyAlignment="1">
      <alignment horizontal="center" vertical="center" wrapText="1"/>
    </xf>
    <xf numFmtId="0" fontId="27" fillId="24" borderId="0" xfId="0" applyFont="1" applyFill="1" applyBorder="1" applyAlignment="1">
      <alignment horizontal="center" vertical="center" wrapText="1"/>
    </xf>
    <xf numFmtId="0" fontId="26" fillId="24" borderId="0" xfId="0" applyFont="1" applyFill="1" applyBorder="1" applyAlignment="1">
      <alignment horizontal="center" vertical="center"/>
    </xf>
    <xf numFmtId="3" fontId="35" fillId="24" borderId="0" xfId="0" applyNumberFormat="1" applyFont="1" applyFill="1" applyBorder="1" applyAlignment="1">
      <alignment horizontal="center"/>
    </xf>
    <xf numFmtId="0" fontId="35" fillId="24" borderId="0" xfId="0" applyFont="1" applyFill="1" applyBorder="1" applyAlignment="1">
      <alignment horizontal="center"/>
    </xf>
    <xf numFmtId="165" fontId="28" fillId="32" borderId="20" xfId="59" applyNumberFormat="1" applyFont="1" applyFill="1" applyBorder="1" applyAlignment="1">
      <alignment vertical="center"/>
    </xf>
    <xf numFmtId="0" fontId="31" fillId="24" borderId="0" xfId="0" applyFont="1" applyFill="1" applyBorder="1"/>
    <xf numFmtId="171" fontId="28" fillId="32" borderId="20" xfId="0" applyNumberFormat="1" applyFont="1" applyFill="1" applyBorder="1" applyAlignment="1">
      <alignment vertical="center"/>
    </xf>
    <xf numFmtId="0" fontId="46" fillId="0" borderId="23" xfId="45" applyFont="1" applyBorder="1"/>
    <xf numFmtId="165" fontId="35" fillId="31" borderId="0" xfId="0" applyNumberFormat="1" applyFont="1" applyFill="1" applyBorder="1" applyAlignment="1">
      <alignment horizontal="center" vertical="center"/>
    </xf>
    <xf numFmtId="0" fontId="35" fillId="31" borderId="0" xfId="0" applyFont="1" applyFill="1" applyBorder="1" applyAlignment="1">
      <alignment vertical="center"/>
    </xf>
    <xf numFmtId="1" fontId="35" fillId="31" borderId="0" xfId="45" applyNumberFormat="1" applyFont="1" applyFill="1" applyBorder="1" applyAlignment="1">
      <alignment horizontal="center" vertical="top"/>
    </xf>
    <xf numFmtId="165" fontId="31" fillId="0" borderId="29" xfId="0" applyNumberFormat="1" applyFont="1" applyBorder="1"/>
    <xf numFmtId="165" fontId="31" fillId="0" borderId="30" xfId="0" applyNumberFormat="1" applyFont="1" applyBorder="1"/>
    <xf numFmtId="0" fontId="31" fillId="0" borderId="29" xfId="0" applyNumberFormat="1" applyFont="1" applyBorder="1"/>
    <xf numFmtId="0" fontId="28" fillId="32" borderId="16" xfId="0" applyFont="1" applyFill="1" applyBorder="1" applyAlignment="1">
      <alignment horizontal="center" vertical="center"/>
    </xf>
    <xf numFmtId="0" fontId="28" fillId="32" borderId="16" xfId="0" applyFont="1" applyFill="1" applyBorder="1" applyAlignment="1">
      <alignment horizontal="center" vertical="center" wrapText="1"/>
    </xf>
    <xf numFmtId="0" fontId="31" fillId="0" borderId="13" xfId="0" applyFont="1" applyBorder="1" applyAlignment="1">
      <alignment vertical="center"/>
    </xf>
    <xf numFmtId="1" fontId="31" fillId="0" borderId="10" xfId="0" applyNumberFormat="1" applyFont="1" applyBorder="1" applyAlignment="1">
      <alignment horizontal="center" vertical="center"/>
    </xf>
    <xf numFmtId="0" fontId="31" fillId="0" borderId="10" xfId="0" applyFont="1" applyBorder="1" applyAlignment="1">
      <alignment vertical="center"/>
    </xf>
    <xf numFmtId="0" fontId="31" fillId="0" borderId="25" xfId="0" applyFont="1" applyBorder="1" applyAlignment="1">
      <alignment vertical="center"/>
    </xf>
    <xf numFmtId="1" fontId="31" fillId="0" borderId="25" xfId="0" applyNumberFormat="1" applyFont="1" applyBorder="1" applyAlignment="1">
      <alignment horizontal="center" vertical="center"/>
    </xf>
    <xf numFmtId="0" fontId="28" fillId="32" borderId="28" xfId="0" applyFont="1" applyFill="1" applyBorder="1" applyAlignment="1">
      <alignment horizontal="center" vertical="center" wrapText="1"/>
    </xf>
    <xf numFmtId="0" fontId="48" fillId="0" borderId="27" xfId="0" applyFont="1" applyBorder="1" applyAlignment="1">
      <alignment vertical="center"/>
    </xf>
    <xf numFmtId="0" fontId="26" fillId="0" borderId="27" xfId="0" applyFont="1" applyBorder="1" applyAlignment="1">
      <alignment vertical="center"/>
    </xf>
    <xf numFmtId="165" fontId="28" fillId="32" borderId="16" xfId="59" applyNumberFormat="1" applyFont="1" applyFill="1" applyBorder="1" applyAlignment="1">
      <alignment vertical="center"/>
    </xf>
    <xf numFmtId="41" fontId="26" fillId="24" borderId="32" xfId="45" applyNumberFormat="1" applyFont="1" applyFill="1" applyBorder="1" applyAlignment="1">
      <alignment horizontal="center" vertical="top"/>
    </xf>
    <xf numFmtId="0" fontId="26" fillId="24" borderId="13" xfId="45" applyFont="1" applyFill="1" applyBorder="1" applyAlignment="1">
      <alignment horizontal="center" vertical="top" wrapText="1"/>
    </xf>
    <xf numFmtId="0" fontId="26" fillId="24" borderId="0" xfId="45" applyFont="1" applyFill="1" applyAlignment="1">
      <alignment horizontal="center" vertical="top" wrapText="1"/>
    </xf>
    <xf numFmtId="2" fontId="27" fillId="31" borderId="10" xfId="45" applyNumberFormat="1" applyFont="1" applyFill="1" applyBorder="1" applyAlignment="1">
      <alignment horizontal="center" vertical="center" wrapText="1"/>
    </xf>
    <xf numFmtId="1" fontId="26" fillId="0" borderId="10" xfId="45" applyNumberFormat="1" applyFont="1" applyBorder="1" applyAlignment="1">
      <alignment horizontal="center" vertical="center"/>
    </xf>
    <xf numFmtId="0" fontId="26" fillId="24" borderId="33" xfId="45" applyFont="1" applyFill="1" applyBorder="1" applyAlignment="1">
      <alignment horizontal="center" vertical="top" wrapText="1"/>
    </xf>
    <xf numFmtId="2" fontId="27" fillId="0" borderId="10" xfId="45" applyNumberFormat="1" applyFont="1" applyBorder="1" applyAlignment="1">
      <alignment horizontal="left" vertical="top" wrapText="1"/>
    </xf>
    <xf numFmtId="1" fontId="26" fillId="0" borderId="10" xfId="45" applyNumberFormat="1" applyFont="1" applyBorder="1" applyAlignment="1">
      <alignment horizontal="center" vertical="top"/>
    </xf>
    <xf numFmtId="2" fontId="26" fillId="0" borderId="10" xfId="45" applyNumberFormat="1" applyFont="1" applyBorder="1" applyAlignment="1">
      <alignment horizontal="left" vertical="top" wrapText="1"/>
    </xf>
    <xf numFmtId="2" fontId="50" fillId="0" borderId="10" xfId="45" applyNumberFormat="1" applyFont="1" applyBorder="1" applyAlignment="1">
      <alignment horizontal="left" vertical="top" wrapText="1"/>
    </xf>
    <xf numFmtId="2" fontId="33" fillId="0" borderId="10" xfId="45" applyNumberFormat="1" applyFont="1" applyBorder="1" applyAlignment="1">
      <alignment horizontal="left" vertical="top" wrapText="1"/>
    </xf>
    <xf numFmtId="169" fontId="36" fillId="24" borderId="33" xfId="45" applyNumberFormat="1" applyFont="1" applyFill="1" applyBorder="1" applyAlignment="1">
      <alignment horizontal="center" vertical="top" wrapText="1"/>
    </xf>
    <xf numFmtId="41" fontId="26" fillId="0" borderId="10" xfId="45" applyNumberFormat="1" applyFont="1" applyBorder="1" applyAlignment="1">
      <alignment horizontal="center" vertical="top"/>
    </xf>
    <xf numFmtId="0" fontId="26" fillId="0" borderId="32" xfId="45" applyFont="1" applyBorder="1" applyAlignment="1">
      <alignment horizontal="center" vertical="top"/>
    </xf>
    <xf numFmtId="0" fontId="35" fillId="33" borderId="16" xfId="0" applyFont="1" applyFill="1" applyBorder="1" applyAlignment="1">
      <alignment horizontal="center" vertical="center"/>
    </xf>
    <xf numFmtId="170" fontId="28" fillId="32" borderId="15" xfId="0" applyNumberFormat="1" applyFont="1" applyFill="1" applyBorder="1" applyAlignment="1">
      <alignment horizontal="center" vertical="center"/>
    </xf>
    <xf numFmtId="170" fontId="28" fillId="32" borderId="31" xfId="0" applyNumberFormat="1" applyFont="1" applyFill="1" applyBorder="1" applyAlignment="1">
      <alignment horizontal="center" vertical="center"/>
    </xf>
    <xf numFmtId="170" fontId="28" fillId="32" borderId="19" xfId="0" applyNumberFormat="1" applyFont="1" applyFill="1" applyBorder="1" applyAlignment="1">
      <alignment horizontal="center" vertical="center"/>
    </xf>
    <xf numFmtId="170" fontId="28" fillId="32" borderId="14" xfId="0" applyNumberFormat="1" applyFont="1" applyFill="1" applyBorder="1" applyAlignment="1">
      <alignment horizontal="center" vertical="center"/>
    </xf>
    <xf numFmtId="0" fontId="30" fillId="29" borderId="19" xfId="45" applyFont="1" applyFill="1" applyBorder="1" applyAlignment="1">
      <alignment horizontal="center" vertical="top"/>
    </xf>
    <xf numFmtId="0" fontId="30" fillId="29" borderId="14" xfId="45" applyFont="1" applyFill="1" applyBorder="1" applyAlignment="1">
      <alignment horizontal="center" vertical="top"/>
    </xf>
    <xf numFmtId="0" fontId="30" fillId="29" borderId="20" xfId="45" applyFont="1" applyFill="1" applyBorder="1" applyAlignment="1">
      <alignment horizontal="center" vertical="top"/>
    </xf>
    <xf numFmtId="0" fontId="27" fillId="31" borderId="19" xfId="45" applyFont="1" applyFill="1" applyBorder="1" applyAlignment="1">
      <alignment horizontal="center" vertical="top"/>
    </xf>
    <xf numFmtId="0" fontId="27" fillId="31" borderId="14" xfId="45" applyFont="1" applyFill="1" applyBorder="1" applyAlignment="1">
      <alignment horizontal="center" vertical="top"/>
    </xf>
    <xf numFmtId="0" fontId="27" fillId="31" borderId="20" xfId="45" applyFont="1" applyFill="1" applyBorder="1" applyAlignment="1">
      <alignment horizontal="center" vertical="top"/>
    </xf>
    <xf numFmtId="165" fontId="28" fillId="29" borderId="19" xfId="45" applyNumberFormat="1" applyFont="1" applyFill="1" applyBorder="1" applyAlignment="1">
      <alignment horizontal="center" vertical="top"/>
    </xf>
    <xf numFmtId="165" fontId="28" fillId="29" borderId="20" xfId="45" applyNumberFormat="1" applyFont="1" applyFill="1" applyBorder="1" applyAlignment="1">
      <alignment horizontal="center" vertical="top"/>
    </xf>
    <xf numFmtId="165" fontId="28" fillId="29" borderId="24" xfId="45" applyNumberFormat="1" applyFont="1" applyFill="1" applyBorder="1" applyAlignment="1">
      <alignment horizontal="center" vertical="top"/>
    </xf>
    <xf numFmtId="165" fontId="28" fillId="29" borderId="22" xfId="45" applyNumberFormat="1" applyFont="1" applyFill="1" applyBorder="1" applyAlignment="1">
      <alignment horizontal="center" vertical="top"/>
    </xf>
    <xf numFmtId="165" fontId="35" fillId="31" borderId="19" xfId="45" applyNumberFormat="1" applyFont="1" applyFill="1" applyBorder="1" applyAlignment="1">
      <alignment horizontal="center" vertical="top"/>
    </xf>
    <xf numFmtId="165" fontId="35" fillId="31" borderId="20" xfId="45" applyNumberFormat="1" applyFont="1" applyFill="1" applyBorder="1" applyAlignment="1">
      <alignment horizontal="center" vertical="top"/>
    </xf>
    <xf numFmtId="165" fontId="35" fillId="31" borderId="23" xfId="45" applyNumberFormat="1" applyFont="1" applyFill="1" applyBorder="1" applyAlignment="1">
      <alignment horizontal="center" vertical="top"/>
    </xf>
    <xf numFmtId="165" fontId="35" fillId="31" borderId="18" xfId="45" applyNumberFormat="1" applyFont="1" applyFill="1" applyBorder="1" applyAlignment="1">
      <alignment horizontal="center" vertical="top"/>
    </xf>
    <xf numFmtId="1" fontId="28" fillId="29" borderId="19" xfId="45" applyNumberFormat="1" applyFont="1" applyFill="1" applyBorder="1" applyAlignment="1">
      <alignment horizontal="center" vertical="top"/>
    </xf>
    <xf numFmtId="1" fontId="28" fillId="29" borderId="14" xfId="45" applyNumberFormat="1" applyFont="1" applyFill="1" applyBorder="1" applyAlignment="1">
      <alignment horizontal="center" vertical="top"/>
    </xf>
    <xf numFmtId="1" fontId="28" fillId="29" borderId="20" xfId="45" applyNumberFormat="1" applyFont="1" applyFill="1" applyBorder="1" applyAlignment="1">
      <alignment horizontal="center" vertical="top"/>
    </xf>
  </cellXfs>
  <cellStyles count="60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 2" xfId="46" xr:uid="{00000000-0005-0000-0000-00001B000000}"/>
    <cellStyle name="Comma 2 2" xfId="48" xr:uid="{00000000-0005-0000-0000-00001C000000}"/>
    <cellStyle name="Currency" xfId="59" builtinId="4"/>
    <cellStyle name="Currency 2" xfId="50" xr:uid="{00000000-0005-0000-0000-00001D000000}"/>
    <cellStyle name="Currency 3" xfId="55" xr:uid="{00000000-0005-0000-0000-00001E000000}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5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44" xr:uid="{00000000-0005-0000-0000-00002A000000}"/>
    <cellStyle name="Normal 2 2" xfId="47" xr:uid="{00000000-0005-0000-0000-00002B000000}"/>
    <cellStyle name="Normal 2 3" xfId="45" xr:uid="{00000000-0005-0000-0000-00002C000000}"/>
    <cellStyle name="Normal 2 3 2" xfId="52" xr:uid="{00000000-0005-0000-0000-00002D000000}"/>
    <cellStyle name="Normal 3" xfId="37" xr:uid="{00000000-0005-0000-0000-00002E000000}"/>
    <cellStyle name="Normal 4" xfId="43" xr:uid="{00000000-0005-0000-0000-00002F000000}"/>
    <cellStyle name="Normal 4 2" xfId="53" xr:uid="{00000000-0005-0000-0000-000030000000}"/>
    <cellStyle name="Normal 4 3" xfId="51" xr:uid="{00000000-0005-0000-0000-000031000000}"/>
    <cellStyle name="Normal 5" xfId="49" xr:uid="{00000000-0005-0000-0000-000032000000}"/>
    <cellStyle name="Normal 6" xfId="57" xr:uid="{00000000-0005-0000-0000-000033000000}"/>
    <cellStyle name="Normal 7" xfId="58" xr:uid="{00000000-0005-0000-0000-000034000000}"/>
    <cellStyle name="Note" xfId="38" builtinId="10" customBuiltin="1"/>
    <cellStyle name="Output" xfId="39" builtinId="21" customBuiltin="1"/>
    <cellStyle name="Percent 2" xfId="56" xr:uid="{00000000-0005-0000-0000-000038000000}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9" defaultPivotStyle="PivotStyleLight16"/>
  <colors>
    <mruColors>
      <color rgb="FF006666"/>
      <color rgb="FF0000CC"/>
      <color rgb="FFF50101"/>
      <color rgb="FFFF512C"/>
      <color rgb="FFF55D61"/>
      <color rgb="FFFED2DC"/>
      <color rgb="FFD5D5D5"/>
      <color rgb="FFB94517"/>
      <color rgb="FFFE9494"/>
      <color rgb="FFF3F3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0</xdr:row>
      <xdr:rowOff>57150</xdr:rowOff>
    </xdr:from>
    <xdr:to>
      <xdr:col>3</xdr:col>
      <xdr:colOff>1537889</xdr:colOff>
      <xdr:row>8</xdr:row>
      <xdr:rowOff>73817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A10B908-2906-4E98-A595-E17D298F6E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24525" y="57150"/>
          <a:ext cx="3099989" cy="171211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423334</xdr:colOff>
      <xdr:row>1</xdr:row>
      <xdr:rowOff>42333</xdr:rowOff>
    </xdr:from>
    <xdr:to>
      <xdr:col>9</xdr:col>
      <xdr:colOff>327154</xdr:colOff>
      <xdr:row>4</xdr:row>
      <xdr:rowOff>156367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795518-0345-462F-8931-C9530B0ECB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688917" y="254000"/>
          <a:ext cx="1692404" cy="7172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 tint="0.39997558519241921"/>
    <pageSetUpPr fitToPage="1"/>
  </sheetPr>
  <dimension ref="A1:M26"/>
  <sheetViews>
    <sheetView showGridLines="0" view="pageBreakPreview" zoomScaleNormal="100" zoomScaleSheetLayoutView="100" workbookViewId="0">
      <selection activeCell="A18" sqref="A18:B18"/>
    </sheetView>
  </sheetViews>
  <sheetFormatPr defaultRowHeight="15.75" x14ac:dyDescent="0.25"/>
  <cols>
    <col min="1" max="1" width="21.77734375" style="48" customWidth="1"/>
    <col min="2" max="2" width="41.44140625" style="48" customWidth="1"/>
    <col min="3" max="3" width="21.77734375" style="48" customWidth="1"/>
    <col min="4" max="4" width="21.77734375" style="29" customWidth="1"/>
    <col min="5" max="5" width="10.5546875" style="29" bestFit="1" customWidth="1"/>
    <col min="6" max="16384" width="8.88671875" style="29"/>
  </cols>
  <sheetData>
    <row r="1" spans="1:13" x14ac:dyDescent="0.2">
      <c r="A1" s="130" t="s">
        <v>29</v>
      </c>
      <c r="B1" s="46"/>
      <c r="C1" s="47"/>
      <c r="D1" s="28"/>
      <c r="E1" s="34"/>
      <c r="F1" s="34"/>
      <c r="G1" s="34"/>
      <c r="H1" s="34"/>
      <c r="I1" s="34"/>
    </row>
    <row r="2" spans="1:13" x14ac:dyDescent="0.2">
      <c r="A2" s="125" t="s">
        <v>30</v>
      </c>
      <c r="B2" s="140"/>
      <c r="C2" s="131"/>
      <c r="D2" s="21"/>
      <c r="E2" s="34"/>
      <c r="F2" s="34"/>
      <c r="G2" s="34"/>
      <c r="H2" s="34"/>
      <c r="I2" s="34"/>
    </row>
    <row r="3" spans="1:13" ht="18" customHeight="1" x14ac:dyDescent="0.2">
      <c r="A3" s="126" t="s">
        <v>31</v>
      </c>
      <c r="B3" s="141"/>
      <c r="C3" s="131"/>
      <c r="D3" s="21"/>
      <c r="E3" s="34"/>
      <c r="F3" s="34"/>
      <c r="G3" s="34"/>
      <c r="H3" s="34"/>
      <c r="I3" s="34"/>
    </row>
    <row r="4" spans="1:13" ht="21" customHeight="1" x14ac:dyDescent="0.2">
      <c r="A4" s="126" t="s">
        <v>32</v>
      </c>
      <c r="B4" s="141"/>
      <c r="C4" s="135"/>
      <c r="D4" s="21"/>
      <c r="E4" s="9"/>
      <c r="F4" s="11"/>
      <c r="G4" s="11"/>
      <c r="H4" s="30"/>
      <c r="I4" s="30"/>
      <c r="J4" s="30"/>
      <c r="K4" s="30"/>
    </row>
    <row r="5" spans="1:13" x14ac:dyDescent="0.2">
      <c r="A5" s="126"/>
      <c r="B5" s="141"/>
      <c r="C5" s="132"/>
      <c r="D5" s="31"/>
      <c r="E5" s="30"/>
      <c r="F5" s="30"/>
      <c r="G5" s="30"/>
      <c r="H5" s="30"/>
      <c r="I5" s="32"/>
      <c r="J5" s="32"/>
      <c r="K5" s="32"/>
      <c r="L5" s="32"/>
      <c r="M5" s="32"/>
    </row>
    <row r="6" spans="1:13" x14ac:dyDescent="0.25">
      <c r="A6" s="124" t="s">
        <v>33</v>
      </c>
      <c r="B6" s="142"/>
      <c r="C6" s="136"/>
      <c r="D6" s="33"/>
      <c r="E6" s="30"/>
      <c r="F6" s="30"/>
      <c r="G6" s="30"/>
      <c r="H6" s="30"/>
      <c r="I6" s="32"/>
      <c r="J6" s="32"/>
      <c r="K6" s="32"/>
      <c r="L6" s="32"/>
      <c r="M6" s="32"/>
    </row>
    <row r="7" spans="1:13" s="34" customFormat="1" x14ac:dyDescent="0.25">
      <c r="A7" s="126" t="s">
        <v>34</v>
      </c>
      <c r="B7" s="143"/>
      <c r="C7" s="132"/>
      <c r="D7" s="31"/>
      <c r="E7" s="30"/>
      <c r="F7" s="30"/>
      <c r="G7" s="30"/>
      <c r="H7" s="30"/>
      <c r="I7" s="32"/>
      <c r="J7" s="32"/>
      <c r="K7" s="32"/>
      <c r="L7" s="32"/>
      <c r="M7" s="32"/>
    </row>
    <row r="8" spans="1:13" x14ac:dyDescent="0.25">
      <c r="A8" s="126" t="s">
        <v>35</v>
      </c>
      <c r="B8" s="144"/>
      <c r="C8" s="132"/>
      <c r="D8" s="33"/>
      <c r="E8" s="30"/>
      <c r="F8" s="30"/>
      <c r="G8" s="30"/>
      <c r="H8" s="30"/>
      <c r="I8" s="32"/>
      <c r="J8" s="32"/>
      <c r="K8" s="32"/>
      <c r="L8" s="32"/>
      <c r="M8" s="32"/>
    </row>
    <row r="9" spans="1:13" ht="16.5" thickBot="1" x14ac:dyDescent="0.3">
      <c r="A9" s="127"/>
      <c r="B9" s="146"/>
      <c r="C9" s="137"/>
      <c r="D9" s="31"/>
      <c r="E9" s="30"/>
      <c r="F9" s="30"/>
      <c r="G9" s="30"/>
      <c r="H9" s="30"/>
      <c r="I9" s="32"/>
      <c r="J9" s="32"/>
      <c r="K9" s="32"/>
      <c r="L9" s="32"/>
      <c r="M9" s="32"/>
    </row>
    <row r="10" spans="1:13" ht="16.5" thickBot="1" x14ac:dyDescent="0.25">
      <c r="A10" s="108" t="s">
        <v>36</v>
      </c>
      <c r="B10" s="138" t="s">
        <v>39</v>
      </c>
      <c r="C10" s="137"/>
      <c r="D10" s="31"/>
      <c r="E10" s="30"/>
      <c r="F10" s="30"/>
      <c r="G10" s="30"/>
      <c r="H10" s="30"/>
      <c r="I10" s="32"/>
      <c r="J10" s="32"/>
      <c r="K10" s="32"/>
      <c r="L10" s="32"/>
      <c r="M10" s="32"/>
    </row>
    <row r="11" spans="1:13" ht="16.5" thickBot="1" x14ac:dyDescent="0.3">
      <c r="A11" s="128" t="s">
        <v>37</v>
      </c>
      <c r="B11" s="139">
        <f>E40</f>
        <v>0</v>
      </c>
      <c r="C11" s="137"/>
      <c r="D11" s="31"/>
      <c r="E11" s="30"/>
      <c r="F11" s="30"/>
      <c r="G11" s="30"/>
      <c r="H11" s="30"/>
      <c r="I11" s="32"/>
      <c r="J11" s="32"/>
      <c r="K11" s="32"/>
      <c r="L11" s="32"/>
      <c r="M11" s="32"/>
    </row>
    <row r="12" spans="1:13" ht="16.5" thickBot="1" x14ac:dyDescent="0.3">
      <c r="A12" s="129" t="s">
        <v>38</v>
      </c>
      <c r="B12" s="139">
        <f>E47</f>
        <v>0</v>
      </c>
      <c r="C12" s="137"/>
      <c r="D12" s="33"/>
      <c r="E12" s="32"/>
      <c r="F12" s="32"/>
      <c r="G12" s="32"/>
      <c r="H12" s="32"/>
      <c r="I12" s="32"/>
      <c r="J12" s="32"/>
      <c r="K12" s="32"/>
      <c r="L12" s="32"/>
      <c r="M12" s="32"/>
    </row>
    <row r="13" spans="1:13" ht="16.5" thickBot="1" x14ac:dyDescent="0.3">
      <c r="A13" s="133"/>
      <c r="B13" s="134"/>
      <c r="C13" s="134"/>
      <c r="D13" s="35"/>
      <c r="E13" s="34"/>
      <c r="F13" s="34"/>
      <c r="G13" s="34"/>
      <c r="H13" s="34"/>
      <c r="I13" s="34"/>
    </row>
    <row r="14" spans="1:13" ht="16.5" thickBot="1" x14ac:dyDescent="0.25">
      <c r="A14" s="155" t="s">
        <v>23</v>
      </c>
      <c r="B14" s="156" t="s">
        <v>1</v>
      </c>
      <c r="C14" s="162" t="s">
        <v>4</v>
      </c>
      <c r="D14" s="155" t="s">
        <v>24</v>
      </c>
      <c r="E14" s="30"/>
      <c r="F14" s="30"/>
      <c r="G14" s="30"/>
      <c r="H14" s="30"/>
      <c r="I14" s="32"/>
      <c r="J14" s="32"/>
      <c r="K14" s="32"/>
      <c r="L14" s="32"/>
      <c r="M14" s="32"/>
    </row>
    <row r="15" spans="1:13" x14ac:dyDescent="0.25">
      <c r="A15" s="109"/>
      <c r="B15" s="163" t="s">
        <v>54</v>
      </c>
      <c r="C15" s="153"/>
      <c r="D15" s="153"/>
      <c r="E15" s="30"/>
      <c r="F15" s="30"/>
      <c r="G15" s="30"/>
      <c r="H15" s="30"/>
      <c r="I15" s="32"/>
      <c r="J15" s="32"/>
      <c r="K15" s="32"/>
      <c r="L15" s="32"/>
      <c r="M15" s="32"/>
    </row>
    <row r="16" spans="1:13" x14ac:dyDescent="0.25">
      <c r="A16" s="109" t="s">
        <v>52</v>
      </c>
      <c r="B16" s="164" t="s">
        <v>53</v>
      </c>
      <c r="C16" s="152">
        <f>'SITE ESTIMATE'!J20</f>
        <v>0</v>
      </c>
      <c r="D16" s="154" t="e">
        <f>C16/$B$7</f>
        <v>#DIV/0!</v>
      </c>
      <c r="E16" s="30"/>
      <c r="F16" s="30"/>
      <c r="G16" s="30"/>
      <c r="H16" s="30"/>
      <c r="I16" s="32"/>
      <c r="J16" s="32"/>
      <c r="K16" s="32"/>
      <c r="L16" s="32"/>
      <c r="M16" s="32"/>
    </row>
    <row r="17" spans="1:13" ht="16.5" thickBot="1" x14ac:dyDescent="0.3">
      <c r="A17" s="109" t="s">
        <v>58</v>
      </c>
      <c r="B17" s="164" t="s">
        <v>59</v>
      </c>
      <c r="C17" s="152">
        <f>'SITE ESTIMATE'!J124</f>
        <v>0</v>
      </c>
      <c r="D17" s="154" t="e">
        <f>C17/$B$7</f>
        <v>#DIV/0!</v>
      </c>
      <c r="E17" s="30"/>
      <c r="F17" s="30"/>
      <c r="G17" s="30"/>
      <c r="H17" s="30"/>
      <c r="I17" s="32"/>
      <c r="J17" s="32"/>
      <c r="K17" s="32"/>
      <c r="L17" s="32"/>
      <c r="M17" s="32"/>
    </row>
    <row r="18" spans="1:13" ht="16.5" thickBot="1" x14ac:dyDescent="0.25">
      <c r="A18" s="180" t="s">
        <v>25</v>
      </c>
      <c r="B18" s="180"/>
      <c r="C18" s="110">
        <f>SUM(C15:C17)</f>
        <v>0</v>
      </c>
      <c r="D18" s="111" t="e">
        <f>SUM(C18/$B$7)</f>
        <v>#DIV/0!</v>
      </c>
      <c r="E18" s="30"/>
      <c r="F18" s="30"/>
      <c r="G18" s="30"/>
      <c r="H18" s="30"/>
      <c r="I18" s="32"/>
      <c r="J18" s="32"/>
      <c r="K18" s="32"/>
      <c r="L18" s="32"/>
      <c r="M18" s="32"/>
    </row>
    <row r="19" spans="1:13" ht="16.5" thickBot="1" x14ac:dyDescent="0.25">
      <c r="A19" s="121"/>
      <c r="B19" s="122"/>
      <c r="C19" s="122"/>
      <c r="D19" s="123"/>
      <c r="E19" s="30"/>
      <c r="F19" s="30"/>
      <c r="G19" s="30"/>
      <c r="H19" s="30"/>
      <c r="I19" s="32"/>
      <c r="J19" s="32"/>
      <c r="K19" s="32"/>
      <c r="L19" s="32"/>
      <c r="M19" s="32"/>
    </row>
    <row r="20" spans="1:13" ht="16.5" thickBot="1" x14ac:dyDescent="0.25">
      <c r="A20" s="181" t="s">
        <v>25</v>
      </c>
      <c r="B20" s="182"/>
      <c r="C20" s="165">
        <f>C18</f>
        <v>0</v>
      </c>
      <c r="D20" s="145" t="e">
        <f>D18</f>
        <v>#DIV/0!</v>
      </c>
      <c r="E20" s="30"/>
      <c r="F20" s="30"/>
      <c r="G20" s="30"/>
      <c r="H20" s="30"/>
      <c r="I20" s="32"/>
      <c r="J20" s="32"/>
      <c r="K20" s="32"/>
      <c r="L20" s="32"/>
      <c r="M20" s="32"/>
    </row>
    <row r="21" spans="1:13" x14ac:dyDescent="0.2">
      <c r="A21" s="113" t="s">
        <v>20</v>
      </c>
      <c r="B21" s="114"/>
      <c r="C21" s="114">
        <f>C20</f>
        <v>0</v>
      </c>
      <c r="D21" s="115"/>
      <c r="E21" s="30"/>
      <c r="F21" s="30"/>
      <c r="G21" s="30"/>
      <c r="H21" s="30"/>
      <c r="I21" s="32"/>
      <c r="J21" s="32"/>
      <c r="K21" s="32"/>
      <c r="L21" s="32"/>
      <c r="M21" s="32"/>
    </row>
    <row r="22" spans="1:13" x14ac:dyDescent="0.2">
      <c r="A22" s="116" t="s">
        <v>26</v>
      </c>
      <c r="B22" s="117">
        <v>0.25</v>
      </c>
      <c r="C22" s="149">
        <f>B22*C20</f>
        <v>0</v>
      </c>
      <c r="D22" s="119"/>
      <c r="E22" s="30"/>
      <c r="F22" s="30"/>
      <c r="G22" s="30"/>
      <c r="H22" s="30"/>
      <c r="I22" s="32"/>
      <c r="J22" s="32"/>
      <c r="K22" s="32"/>
      <c r="L22" s="32"/>
      <c r="M22" s="32"/>
    </row>
    <row r="23" spans="1:13" x14ac:dyDescent="0.2">
      <c r="A23" s="116" t="s">
        <v>27</v>
      </c>
      <c r="B23" s="117">
        <v>0.03</v>
      </c>
      <c r="C23" s="118">
        <f>B23*C20</f>
        <v>0</v>
      </c>
      <c r="D23" s="119"/>
      <c r="E23" s="30"/>
      <c r="F23" s="30"/>
      <c r="G23" s="30"/>
      <c r="H23" s="30"/>
      <c r="I23" s="32"/>
      <c r="J23" s="32"/>
      <c r="K23" s="32"/>
      <c r="L23" s="32"/>
      <c r="M23" s="32"/>
    </row>
    <row r="24" spans="1:13" ht="16.5" thickBot="1" x14ac:dyDescent="0.25">
      <c r="A24" s="116" t="s">
        <v>28</v>
      </c>
      <c r="B24" s="117">
        <v>7.0000000000000007E-2</v>
      </c>
      <c r="C24" s="118">
        <f>B24*C20</f>
        <v>0</v>
      </c>
      <c r="D24" s="120"/>
      <c r="E24" s="30"/>
      <c r="F24" s="30"/>
      <c r="G24" s="30"/>
      <c r="H24" s="30"/>
      <c r="I24" s="32"/>
      <c r="J24" s="32"/>
      <c r="K24" s="32"/>
      <c r="L24" s="32"/>
      <c r="M24" s="32"/>
    </row>
    <row r="25" spans="1:13" ht="16.5" thickBot="1" x14ac:dyDescent="0.25">
      <c r="A25" s="183" t="s">
        <v>3</v>
      </c>
      <c r="B25" s="184"/>
      <c r="C25" s="145"/>
      <c r="D25" s="147">
        <f>SUM(C21:C24)</f>
        <v>0</v>
      </c>
      <c r="E25" s="34"/>
      <c r="F25" s="34"/>
      <c r="G25" s="34"/>
      <c r="H25" s="34"/>
      <c r="I25" s="34"/>
    </row>
    <row r="26" spans="1:13" ht="16.5" thickBot="1" x14ac:dyDescent="0.3">
      <c r="A26" s="148"/>
      <c r="B26" s="49"/>
      <c r="C26" s="50" t="s">
        <v>16</v>
      </c>
      <c r="D26" s="36"/>
    </row>
  </sheetData>
  <mergeCells count="3">
    <mergeCell ref="A18:B18"/>
    <mergeCell ref="A20:B20"/>
    <mergeCell ref="A25:B25"/>
  </mergeCells>
  <printOptions horizontalCentered="1" verticalCentered="1"/>
  <pageMargins left="1" right="1" top="1" bottom="1" header="0.5" footer="0.5"/>
  <pageSetup paperSize="9" scale="97" orientation="landscape" r:id="rId1"/>
  <headerFooter>
    <oddFooter xml:space="preserve">&amp;C&amp;P of &amp;N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  <pageSetUpPr fitToPage="1"/>
  </sheetPr>
  <dimension ref="A1:BK154"/>
  <sheetViews>
    <sheetView showGridLines="0" tabSelected="1" view="pageBreakPreview" zoomScale="90" zoomScaleNormal="90" zoomScaleSheetLayoutView="90" workbookViewId="0">
      <pane ySplit="6" topLeftCell="A7" activePane="bottomLeft" state="frozen"/>
      <selection pane="bottomLeft" activeCell="E3" sqref="E3:E4"/>
    </sheetView>
  </sheetViews>
  <sheetFormatPr defaultColWidth="9.6640625" defaultRowHeight="15.75" x14ac:dyDescent="0.2"/>
  <cols>
    <col min="1" max="1" width="5.6640625" style="19" customWidth="1"/>
    <col min="2" max="2" width="10.109375" style="14" customWidth="1"/>
    <col min="3" max="3" width="11.77734375" style="14" customWidth="1"/>
    <col min="4" max="4" width="6.88671875" style="14" customWidth="1"/>
    <col min="5" max="5" width="46.21875" style="15" bestFit="1" customWidth="1"/>
    <col min="6" max="6" width="8.44140625" style="16" customWidth="1"/>
    <col min="7" max="7" width="7.44140625" style="14" customWidth="1"/>
    <col min="8" max="8" width="9.33203125" style="17" customWidth="1"/>
    <col min="9" max="9" width="11.44140625" style="18" customWidth="1"/>
    <col min="10" max="10" width="11.6640625" style="10" customWidth="1"/>
    <col min="11" max="63" width="11.88671875" style="10" bestFit="1" customWidth="1"/>
    <col min="64" max="16384" width="9.6640625" style="3"/>
  </cols>
  <sheetData>
    <row r="1" spans="1:63" s="62" customFormat="1" ht="16.5" thickBot="1" x14ac:dyDescent="0.25">
      <c r="A1" s="70" t="s">
        <v>5</v>
      </c>
      <c r="B1" s="71"/>
      <c r="C1" s="72" t="s">
        <v>22</v>
      </c>
      <c r="D1" s="73"/>
      <c r="E1" s="74"/>
      <c r="F1" s="75"/>
      <c r="G1" s="75"/>
      <c r="H1" s="76"/>
      <c r="I1" s="75"/>
      <c r="J1" s="74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</row>
    <row r="2" spans="1:63" x14ac:dyDescent="0.2">
      <c r="A2" s="53" t="s">
        <v>6</v>
      </c>
      <c r="B2" s="54"/>
      <c r="C2" s="55" t="s">
        <v>22</v>
      </c>
      <c r="D2" s="6"/>
      <c r="E2" s="7"/>
      <c r="F2" s="38"/>
      <c r="G2" s="7"/>
      <c r="H2" s="7"/>
      <c r="I2" s="8"/>
      <c r="J2" s="7"/>
    </row>
    <row r="3" spans="1:63" x14ac:dyDescent="0.2">
      <c r="A3" s="56" t="s">
        <v>7</v>
      </c>
      <c r="B3" s="54"/>
      <c r="C3" s="57"/>
      <c r="D3" s="1"/>
      <c r="E3" s="9"/>
      <c r="F3" s="9"/>
      <c r="G3" s="10"/>
      <c r="H3" s="10"/>
      <c r="I3" s="11"/>
      <c r="J3" s="67"/>
    </row>
    <row r="4" spans="1:63" x14ac:dyDescent="0.2">
      <c r="A4" s="56" t="s">
        <v>8</v>
      </c>
      <c r="B4" s="54"/>
      <c r="C4" s="57"/>
      <c r="D4" s="1"/>
      <c r="E4" s="9"/>
      <c r="F4" s="9"/>
      <c r="G4" s="10"/>
      <c r="H4" s="10"/>
      <c r="I4" s="11"/>
      <c r="J4" s="67"/>
    </row>
    <row r="5" spans="1:63" ht="16.5" thickBot="1" x14ac:dyDescent="0.25">
      <c r="A5" s="58" t="s">
        <v>19</v>
      </c>
      <c r="B5" s="54"/>
      <c r="C5" s="59">
        <f>I$131</f>
        <v>0</v>
      </c>
      <c r="D5" s="5"/>
      <c r="E5" s="60"/>
      <c r="F5" s="10"/>
      <c r="G5" s="3"/>
      <c r="H5" s="11"/>
      <c r="I5" s="20"/>
      <c r="J5" s="20"/>
    </row>
    <row r="6" spans="1:63" s="63" customFormat="1" ht="38.25" customHeight="1" thickBot="1" x14ac:dyDescent="0.25">
      <c r="A6" s="77" t="s">
        <v>9</v>
      </c>
      <c r="B6" s="78" t="s">
        <v>11</v>
      </c>
      <c r="C6" s="78" t="s">
        <v>12</v>
      </c>
      <c r="D6" s="78" t="s">
        <v>13</v>
      </c>
      <c r="E6" s="78" t="s">
        <v>1</v>
      </c>
      <c r="F6" s="78" t="s">
        <v>14</v>
      </c>
      <c r="G6" s="78" t="s">
        <v>0</v>
      </c>
      <c r="H6" s="78" t="s">
        <v>2</v>
      </c>
      <c r="I6" s="79" t="s">
        <v>4</v>
      </c>
      <c r="J6" s="80" t="s">
        <v>10</v>
      </c>
      <c r="K6" s="65"/>
      <c r="L6" s="65"/>
      <c r="M6" s="65"/>
      <c r="N6" s="65"/>
      <c r="O6" s="65"/>
      <c r="P6" s="65"/>
      <c r="Q6" s="65"/>
      <c r="R6" s="65"/>
      <c r="S6" s="65"/>
      <c r="T6" s="65"/>
      <c r="U6" s="65"/>
      <c r="V6" s="65"/>
      <c r="W6" s="65"/>
      <c r="X6" s="65"/>
      <c r="Y6" s="65"/>
      <c r="Z6" s="65"/>
      <c r="AA6" s="65"/>
      <c r="AB6" s="65"/>
      <c r="AC6" s="65"/>
      <c r="AD6" s="65"/>
      <c r="AE6" s="65"/>
      <c r="AF6" s="65"/>
      <c r="AG6" s="65"/>
      <c r="AH6" s="65"/>
      <c r="AI6" s="65"/>
      <c r="AJ6" s="65"/>
      <c r="AK6" s="65"/>
      <c r="AL6" s="65"/>
      <c r="AM6" s="65"/>
      <c r="AN6" s="65"/>
      <c r="AO6" s="65"/>
      <c r="AP6" s="65"/>
      <c r="AQ6" s="65"/>
      <c r="AR6" s="65"/>
      <c r="AS6" s="65"/>
      <c r="AT6" s="65"/>
      <c r="AU6" s="65"/>
      <c r="AV6" s="65"/>
      <c r="AW6" s="65"/>
      <c r="AX6" s="65"/>
      <c r="AY6" s="65"/>
      <c r="AZ6" s="65"/>
      <c r="BA6" s="65"/>
      <c r="BB6" s="65"/>
      <c r="BC6" s="65"/>
      <c r="BD6" s="65"/>
      <c r="BE6" s="65"/>
      <c r="BF6" s="65"/>
      <c r="BG6" s="65"/>
      <c r="BH6" s="65"/>
      <c r="BI6" s="65"/>
      <c r="BJ6" s="65"/>
      <c r="BK6" s="65"/>
    </row>
    <row r="7" spans="1:63" s="63" customFormat="1" ht="16.5" thickBot="1" x14ac:dyDescent="0.25">
      <c r="A7" s="81"/>
      <c r="B7" s="82"/>
      <c r="C7" s="84"/>
      <c r="D7" s="84"/>
      <c r="E7" s="84"/>
      <c r="F7" s="84"/>
      <c r="G7" s="84"/>
      <c r="H7" s="84"/>
      <c r="I7" s="85"/>
      <c r="J7" s="83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  <c r="AS7" s="65"/>
      <c r="AT7" s="65"/>
      <c r="AU7" s="65"/>
      <c r="AV7" s="65"/>
      <c r="AW7" s="65"/>
      <c r="AX7" s="65"/>
      <c r="AY7" s="65"/>
      <c r="AZ7" s="65"/>
      <c r="BA7" s="65"/>
      <c r="BB7" s="65"/>
      <c r="BC7" s="65"/>
      <c r="BD7" s="65"/>
      <c r="BE7" s="65"/>
      <c r="BF7" s="65"/>
      <c r="BG7" s="65"/>
      <c r="BH7" s="65"/>
      <c r="BI7" s="65"/>
      <c r="BJ7" s="65"/>
      <c r="BK7" s="65"/>
    </row>
    <row r="8" spans="1:63" s="12" customFormat="1" ht="16.5" thickBot="1" x14ac:dyDescent="0.25">
      <c r="A8" s="185" t="s">
        <v>50</v>
      </c>
      <c r="B8" s="186"/>
      <c r="C8" s="186"/>
      <c r="D8" s="186"/>
      <c r="E8" s="186"/>
      <c r="F8" s="186"/>
      <c r="G8" s="186"/>
      <c r="H8" s="186"/>
      <c r="I8" s="186"/>
      <c r="J8" s="187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66"/>
      <c r="AO8" s="66"/>
      <c r="AP8" s="66"/>
      <c r="AQ8" s="66"/>
      <c r="AR8" s="66"/>
      <c r="AS8" s="66"/>
      <c r="AT8" s="66"/>
      <c r="AU8" s="66"/>
      <c r="AV8" s="66"/>
      <c r="AW8" s="66"/>
      <c r="AX8" s="66"/>
      <c r="AY8" s="66"/>
      <c r="AZ8" s="66"/>
      <c r="BA8" s="66"/>
      <c r="BB8" s="66"/>
      <c r="BC8" s="66"/>
      <c r="BD8" s="66"/>
      <c r="BE8" s="66"/>
      <c r="BF8" s="66"/>
      <c r="BG8" s="66"/>
      <c r="BH8" s="66"/>
      <c r="BI8" s="66"/>
      <c r="BJ8" s="66"/>
      <c r="BK8" s="66"/>
    </row>
    <row r="9" spans="1:63" x14ac:dyDescent="0.2">
      <c r="A9" s="4">
        <f>IF(F9&lt;&gt;"",1+MAX($A$6:A8),"")</f>
        <v>1</v>
      </c>
      <c r="B9" s="13"/>
      <c r="C9" s="2"/>
      <c r="D9" s="2"/>
      <c r="E9" s="157" t="s">
        <v>40</v>
      </c>
      <c r="F9" s="158">
        <v>1</v>
      </c>
      <c r="G9" s="4" t="s">
        <v>21</v>
      </c>
      <c r="H9" s="105">
        <v>0</v>
      </c>
      <c r="I9" s="88">
        <f>H9*F9</f>
        <v>0</v>
      </c>
      <c r="J9" s="86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  <c r="BF9" s="39"/>
      <c r="BG9" s="39"/>
      <c r="BH9" s="39"/>
      <c r="BI9" s="39"/>
      <c r="BJ9" s="39"/>
      <c r="BK9" s="39"/>
    </row>
    <row r="10" spans="1:63" x14ac:dyDescent="0.2">
      <c r="A10" s="4">
        <f>IF(F10&lt;&gt;"",1+MAX($A$6:A9),"")</f>
        <v>2</v>
      </c>
      <c r="B10" s="13"/>
      <c r="C10" s="2"/>
      <c r="D10" s="27"/>
      <c r="E10" s="157" t="s">
        <v>41</v>
      </c>
      <c r="F10" s="158">
        <v>1</v>
      </c>
      <c r="G10" s="4" t="s">
        <v>21</v>
      </c>
      <c r="H10" s="105">
        <v>0</v>
      </c>
      <c r="I10" s="88">
        <f>H10*F10</f>
        <v>0</v>
      </c>
      <c r="J10" s="86"/>
    </row>
    <row r="11" spans="1:63" x14ac:dyDescent="0.2">
      <c r="A11" s="4">
        <f>IF(F11&lt;&gt;"",1+MAX($A$6:A10),"")</f>
        <v>3</v>
      </c>
      <c r="B11" s="13"/>
      <c r="C11" s="2"/>
      <c r="D11" s="2"/>
      <c r="E11" s="159" t="s">
        <v>42</v>
      </c>
      <c r="F11" s="158">
        <v>1</v>
      </c>
      <c r="G11" s="4" t="s">
        <v>21</v>
      </c>
      <c r="H11" s="105">
        <v>0</v>
      </c>
      <c r="I11" s="88">
        <f t="shared" ref="I11:I18" si="0">H11*F11</f>
        <v>0</v>
      </c>
      <c r="J11" s="86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</row>
    <row r="12" spans="1:63" x14ac:dyDescent="0.2">
      <c r="A12" s="4">
        <f>IF(F12&lt;&gt;"",1+MAX($A$6:A11),"")</f>
        <v>4</v>
      </c>
      <c r="B12" s="13"/>
      <c r="C12" s="2"/>
      <c r="D12" s="27"/>
      <c r="E12" s="159" t="s">
        <v>43</v>
      </c>
      <c r="F12" s="158">
        <v>1</v>
      </c>
      <c r="G12" s="4" t="s">
        <v>21</v>
      </c>
      <c r="H12" s="105">
        <v>0</v>
      </c>
      <c r="I12" s="88">
        <f t="shared" si="0"/>
        <v>0</v>
      </c>
      <c r="J12" s="86"/>
    </row>
    <row r="13" spans="1:63" x14ac:dyDescent="0.2">
      <c r="A13" s="4">
        <f>IF(F13&lt;&gt;"",1+MAX($A$6:A12),"")</f>
        <v>5</v>
      </c>
      <c r="B13" s="13"/>
      <c r="C13" s="2"/>
      <c r="D13" s="2"/>
      <c r="E13" s="159" t="s">
        <v>44</v>
      </c>
      <c r="F13" s="158">
        <v>1</v>
      </c>
      <c r="G13" s="4" t="s">
        <v>21</v>
      </c>
      <c r="H13" s="105">
        <v>0</v>
      </c>
      <c r="I13" s="88">
        <f t="shared" si="0"/>
        <v>0</v>
      </c>
      <c r="J13" s="86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</row>
    <row r="14" spans="1:63" x14ac:dyDescent="0.2">
      <c r="A14" s="4">
        <f>IF(F14&lt;&gt;"",1+MAX($A$6:A13),"")</f>
        <v>6</v>
      </c>
      <c r="B14" s="13"/>
      <c r="C14" s="2"/>
      <c r="D14" s="27"/>
      <c r="E14" s="159" t="s">
        <v>45</v>
      </c>
      <c r="F14" s="158">
        <v>1</v>
      </c>
      <c r="G14" s="4" t="s">
        <v>21</v>
      </c>
      <c r="H14" s="105">
        <v>0</v>
      </c>
      <c r="I14" s="88">
        <f t="shared" si="0"/>
        <v>0</v>
      </c>
      <c r="J14" s="86"/>
    </row>
    <row r="15" spans="1:63" x14ac:dyDescent="0.2">
      <c r="A15" s="4">
        <f>IF(F15&lt;&gt;"",1+MAX($A$6:A14),"")</f>
        <v>7</v>
      </c>
      <c r="B15" s="13"/>
      <c r="C15" s="2"/>
      <c r="D15" s="27"/>
      <c r="E15" s="159" t="s">
        <v>46</v>
      </c>
      <c r="F15" s="158">
        <v>1</v>
      </c>
      <c r="G15" s="4" t="s">
        <v>21</v>
      </c>
      <c r="H15" s="105">
        <v>0</v>
      </c>
      <c r="I15" s="88">
        <f t="shared" si="0"/>
        <v>0</v>
      </c>
      <c r="J15" s="86"/>
    </row>
    <row r="16" spans="1:63" x14ac:dyDescent="0.2">
      <c r="A16" s="4">
        <f>IF(F16&lt;&gt;"",1+MAX($A$6:A15),"")</f>
        <v>8</v>
      </c>
      <c r="B16" s="13"/>
      <c r="C16" s="2"/>
      <c r="D16" s="2"/>
      <c r="E16" s="159" t="s">
        <v>47</v>
      </c>
      <c r="F16" s="158">
        <v>1</v>
      </c>
      <c r="G16" s="4" t="s">
        <v>21</v>
      </c>
      <c r="H16" s="105">
        <v>0</v>
      </c>
      <c r="I16" s="88">
        <f t="shared" si="0"/>
        <v>0</v>
      </c>
      <c r="J16" s="86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  <c r="BF16" s="39"/>
      <c r="BG16" s="39"/>
      <c r="BH16" s="39"/>
      <c r="BI16" s="39"/>
      <c r="BJ16" s="39"/>
      <c r="BK16" s="39"/>
    </row>
    <row r="17" spans="1:63" x14ac:dyDescent="0.2">
      <c r="A17" s="4">
        <f>IF(F17&lt;&gt;"",1+MAX($A$6:A16),"")</f>
        <v>9</v>
      </c>
      <c r="B17" s="13"/>
      <c r="C17" s="2"/>
      <c r="D17" s="27"/>
      <c r="E17" s="160" t="s">
        <v>48</v>
      </c>
      <c r="F17" s="158">
        <v>1</v>
      </c>
      <c r="G17" s="4" t="s">
        <v>21</v>
      </c>
      <c r="H17" s="105">
        <v>0</v>
      </c>
      <c r="I17" s="88">
        <f t="shared" si="0"/>
        <v>0</v>
      </c>
      <c r="J17" s="86"/>
    </row>
    <row r="18" spans="1:63" x14ac:dyDescent="0.2">
      <c r="A18" s="4">
        <f>IF(F18&lt;&gt;"",1+MAX($A$6:A17),"")</f>
        <v>10</v>
      </c>
      <c r="B18" s="13"/>
      <c r="C18" s="2"/>
      <c r="D18" s="27"/>
      <c r="E18" s="160" t="s">
        <v>49</v>
      </c>
      <c r="F18" s="161">
        <v>1</v>
      </c>
      <c r="G18" s="4" t="s">
        <v>21</v>
      </c>
      <c r="H18" s="105">
        <v>0</v>
      </c>
      <c r="I18" s="88">
        <f t="shared" si="0"/>
        <v>0</v>
      </c>
      <c r="J18" s="86"/>
    </row>
    <row r="19" spans="1:63" ht="16.5" thickBot="1" x14ac:dyDescent="0.25">
      <c r="A19" s="96" t="str">
        <f>IF(F19&lt;&gt;"",1+MAX($A$6:A18),"")</f>
        <v/>
      </c>
      <c r="B19" s="97"/>
      <c r="C19" s="98"/>
      <c r="D19" s="99"/>
      <c r="E19" s="100"/>
      <c r="F19" s="101"/>
      <c r="G19" s="97"/>
      <c r="H19" s="102"/>
      <c r="I19" s="103"/>
      <c r="J19" s="104"/>
    </row>
    <row r="20" spans="1:63" ht="16.5" thickBot="1" x14ac:dyDescent="0.25">
      <c r="A20" s="188" t="s">
        <v>51</v>
      </c>
      <c r="B20" s="189"/>
      <c r="C20" s="189"/>
      <c r="D20" s="189"/>
      <c r="E20" s="189"/>
      <c r="F20" s="189"/>
      <c r="G20" s="189"/>
      <c r="H20" s="189"/>
      <c r="I20" s="190"/>
      <c r="J20" s="37">
        <f>(SUM(I9:I19))</f>
        <v>0</v>
      </c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  <c r="AC20" s="51"/>
      <c r="AD20" s="51"/>
      <c r="AE20" s="51"/>
      <c r="AF20" s="51"/>
      <c r="AG20" s="51"/>
      <c r="AH20" s="51"/>
      <c r="AI20" s="51"/>
      <c r="AJ20" s="51"/>
      <c r="AK20" s="51"/>
      <c r="AL20" s="51"/>
      <c r="AM20" s="51"/>
      <c r="AN20" s="51"/>
      <c r="AO20" s="51"/>
      <c r="AP20" s="51"/>
      <c r="AQ20" s="51"/>
      <c r="AR20" s="51"/>
      <c r="AS20" s="51"/>
      <c r="AT20" s="51"/>
      <c r="AU20" s="51"/>
      <c r="AV20" s="51"/>
      <c r="AW20" s="51"/>
      <c r="AX20" s="51"/>
      <c r="AY20" s="51"/>
      <c r="AZ20" s="51"/>
      <c r="BA20" s="51"/>
      <c r="BB20" s="51"/>
      <c r="BC20" s="51"/>
      <c r="BD20" s="51"/>
      <c r="BE20" s="51"/>
      <c r="BF20" s="51"/>
      <c r="BG20" s="51"/>
      <c r="BH20" s="51"/>
      <c r="BI20" s="51"/>
      <c r="BJ20" s="51"/>
      <c r="BK20" s="51"/>
    </row>
    <row r="21" spans="1:63" ht="16.5" thickBot="1" x14ac:dyDescent="0.25">
      <c r="A21" s="89"/>
      <c r="B21" s="90"/>
      <c r="C21" s="90"/>
      <c r="D21" s="90"/>
      <c r="E21" s="91"/>
      <c r="F21" s="92"/>
      <c r="G21" s="89"/>
      <c r="H21" s="93"/>
      <c r="I21" s="94"/>
      <c r="J21" s="95"/>
    </row>
    <row r="22" spans="1:63" s="12" customFormat="1" ht="16.5" thickBot="1" x14ac:dyDescent="0.25">
      <c r="A22" s="185" t="s">
        <v>56</v>
      </c>
      <c r="B22" s="186"/>
      <c r="C22" s="186"/>
      <c r="D22" s="186"/>
      <c r="E22" s="186"/>
      <c r="F22" s="186"/>
      <c r="G22" s="186"/>
      <c r="H22" s="186"/>
      <c r="I22" s="186"/>
      <c r="J22" s="187"/>
      <c r="K22" s="66"/>
      <c r="L22" s="66"/>
      <c r="M22" s="66"/>
      <c r="N22" s="66"/>
      <c r="O22" s="66"/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  <c r="AC22" s="66"/>
      <c r="AD22" s="66"/>
      <c r="AE22" s="66"/>
      <c r="AF22" s="66"/>
      <c r="AG22" s="66"/>
      <c r="AH22" s="66"/>
      <c r="AI22" s="66"/>
      <c r="AJ22" s="66"/>
      <c r="AK22" s="66"/>
      <c r="AL22" s="66"/>
      <c r="AM22" s="66"/>
      <c r="AN22" s="66"/>
      <c r="AO22" s="66"/>
      <c r="AP22" s="66"/>
      <c r="AQ22" s="66"/>
      <c r="AR22" s="66"/>
      <c r="AS22" s="66"/>
      <c r="AT22" s="66"/>
      <c r="AU22" s="66"/>
      <c r="AV22" s="66"/>
      <c r="AW22" s="66"/>
      <c r="AX22" s="66"/>
      <c r="AY22" s="66"/>
      <c r="AZ22" s="66"/>
      <c r="BA22" s="66"/>
      <c r="BB22" s="66"/>
      <c r="BC22" s="66"/>
      <c r="BD22" s="66"/>
      <c r="BE22" s="66"/>
      <c r="BF22" s="66"/>
      <c r="BG22" s="66"/>
      <c r="BH22" s="66"/>
      <c r="BI22" s="66"/>
      <c r="BJ22" s="66"/>
      <c r="BK22" s="66"/>
    </row>
    <row r="23" spans="1:63" x14ac:dyDescent="0.2">
      <c r="A23" s="4" t="str">
        <f>IF(F23&lt;&gt;"",1+MAX($A$6:A22),"")</f>
        <v/>
      </c>
      <c r="B23" s="13"/>
      <c r="C23" s="167"/>
      <c r="D23" s="168"/>
      <c r="E23" s="169" t="s">
        <v>60</v>
      </c>
      <c r="F23" s="170"/>
      <c r="G23" s="87"/>
      <c r="H23" s="106"/>
      <c r="I23" s="107"/>
      <c r="J23" s="86"/>
    </row>
    <row r="24" spans="1:63" ht="78.75" x14ac:dyDescent="0.2">
      <c r="A24" s="4" t="str">
        <f>IF(F24&lt;&gt;"",1+MAX($A$6:A23),"")</f>
        <v/>
      </c>
      <c r="B24" s="13"/>
      <c r="C24" s="171"/>
      <c r="D24" s="171"/>
      <c r="E24" s="172" t="s">
        <v>61</v>
      </c>
      <c r="F24" s="173"/>
      <c r="G24" s="4"/>
      <c r="H24" s="105"/>
      <c r="I24" s="88"/>
      <c r="J24" s="86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  <c r="BF24" s="39"/>
      <c r="BG24" s="39"/>
      <c r="BH24" s="39"/>
      <c r="BI24" s="39"/>
      <c r="BJ24" s="39"/>
      <c r="BK24" s="39"/>
    </row>
    <row r="25" spans="1:63" x14ac:dyDescent="0.2">
      <c r="A25" s="4">
        <f>IF(F25&lt;&gt;"",1+MAX($A$6:A24),"")</f>
        <v>11</v>
      </c>
      <c r="B25" s="13" t="s">
        <v>62</v>
      </c>
      <c r="C25" s="171" t="s">
        <v>63</v>
      </c>
      <c r="D25" s="171"/>
      <c r="E25" s="174" t="s">
        <v>64</v>
      </c>
      <c r="F25" s="173">
        <f>13*5*2.5/27</f>
        <v>6.0185185185185182</v>
      </c>
      <c r="G25" s="4" t="s">
        <v>112</v>
      </c>
      <c r="H25" s="105">
        <v>0</v>
      </c>
      <c r="I25" s="88">
        <f t="shared" ref="I25" si="1">H25*F25</f>
        <v>0</v>
      </c>
      <c r="J25" s="86"/>
    </row>
    <row r="26" spans="1:63" x14ac:dyDescent="0.2">
      <c r="A26" s="4">
        <f>IF(F26&lt;&gt;"",1+MAX($A$6:A25),"")</f>
        <v>12</v>
      </c>
      <c r="B26" s="13" t="s">
        <v>62</v>
      </c>
      <c r="C26" s="171" t="s">
        <v>63</v>
      </c>
      <c r="D26" s="171"/>
      <c r="E26" s="174" t="s">
        <v>65</v>
      </c>
      <c r="F26" s="173">
        <f>2.044*1.2*2*2*13*5*1.13/0.83</f>
        <v>868.23209638554215</v>
      </c>
      <c r="G26" s="4" t="s">
        <v>113</v>
      </c>
      <c r="H26" s="105">
        <v>0</v>
      </c>
      <c r="I26" s="88">
        <f t="shared" ref="I26:I29" si="2">H26*F26</f>
        <v>0</v>
      </c>
      <c r="J26" s="86"/>
    </row>
    <row r="27" spans="1:63" x14ac:dyDescent="0.2">
      <c r="A27" s="4">
        <f>IF(F27&lt;&gt;"",1+MAX($A$6:A26),"")</f>
        <v>13</v>
      </c>
      <c r="B27" s="13" t="s">
        <v>62</v>
      </c>
      <c r="C27" s="171" t="s">
        <v>63</v>
      </c>
      <c r="D27" s="171"/>
      <c r="E27" s="174" t="s">
        <v>66</v>
      </c>
      <c r="F27" s="173">
        <f>2*18*2.5</f>
        <v>90</v>
      </c>
      <c r="G27" s="4" t="s">
        <v>114</v>
      </c>
      <c r="H27" s="105">
        <v>0</v>
      </c>
      <c r="I27" s="88">
        <f t="shared" si="2"/>
        <v>0</v>
      </c>
      <c r="J27" s="86"/>
    </row>
    <row r="28" spans="1:63" x14ac:dyDescent="0.2">
      <c r="A28" s="4">
        <f>IF(F28&lt;&gt;"",1+MAX($A$6:A27),"")</f>
        <v>14</v>
      </c>
      <c r="B28" s="13" t="s">
        <v>62</v>
      </c>
      <c r="C28" s="171" t="s">
        <v>63</v>
      </c>
      <c r="D28" s="171"/>
      <c r="E28" s="174" t="s">
        <v>67</v>
      </c>
      <c r="F28" s="173">
        <f>14*6*4.5/27</f>
        <v>14</v>
      </c>
      <c r="G28" s="4" t="s">
        <v>112</v>
      </c>
      <c r="H28" s="105">
        <v>0</v>
      </c>
      <c r="I28" s="88">
        <f t="shared" si="2"/>
        <v>0</v>
      </c>
      <c r="J28" s="86"/>
    </row>
    <row r="29" spans="1:63" x14ac:dyDescent="0.2">
      <c r="A29" s="4">
        <f>IF(F29&lt;&gt;"",1+MAX($A$6:A28),"")</f>
        <v>15</v>
      </c>
      <c r="B29" s="13" t="s">
        <v>62</v>
      </c>
      <c r="C29" s="171" t="s">
        <v>63</v>
      </c>
      <c r="D29" s="171"/>
      <c r="E29" s="174" t="s">
        <v>68</v>
      </c>
      <c r="F29" s="173">
        <f>F28-F25</f>
        <v>7.9814814814814818</v>
      </c>
      <c r="G29" s="4" t="s">
        <v>112</v>
      </c>
      <c r="H29" s="105">
        <v>0</v>
      </c>
      <c r="I29" s="88">
        <f t="shared" si="2"/>
        <v>0</v>
      </c>
      <c r="J29" s="86"/>
    </row>
    <row r="30" spans="1:63" x14ac:dyDescent="0.2">
      <c r="A30" s="4"/>
      <c r="B30" s="13"/>
      <c r="C30" s="171"/>
      <c r="D30" s="171"/>
      <c r="E30" s="174"/>
      <c r="F30" s="173"/>
      <c r="G30" s="4"/>
      <c r="H30" s="105"/>
      <c r="I30" s="88"/>
      <c r="J30" s="86"/>
    </row>
    <row r="31" spans="1:63" ht="78.75" x14ac:dyDescent="0.2">
      <c r="A31" s="4"/>
      <c r="B31" s="13"/>
      <c r="C31" s="171"/>
      <c r="D31" s="171"/>
      <c r="E31" s="172" t="s">
        <v>69</v>
      </c>
      <c r="F31" s="173"/>
      <c r="G31" s="4"/>
      <c r="H31" s="105"/>
      <c r="I31" s="88"/>
      <c r="J31" s="86"/>
    </row>
    <row r="32" spans="1:63" x14ac:dyDescent="0.2">
      <c r="A32" s="4"/>
      <c r="B32" s="13" t="s">
        <v>62</v>
      </c>
      <c r="C32" s="171" t="s">
        <v>63</v>
      </c>
      <c r="D32" s="171"/>
      <c r="E32" s="174" t="s">
        <v>64</v>
      </c>
      <c r="F32" s="173">
        <f>6*6*2*3/27</f>
        <v>8</v>
      </c>
      <c r="G32" s="4" t="s">
        <v>112</v>
      </c>
      <c r="H32" s="105">
        <v>0</v>
      </c>
      <c r="I32" s="88">
        <f t="shared" ref="I32:I91" si="3">H32*F32</f>
        <v>0</v>
      </c>
      <c r="J32" s="86"/>
    </row>
    <row r="33" spans="1:10" x14ac:dyDescent="0.2">
      <c r="A33" s="4"/>
      <c r="B33" s="13" t="s">
        <v>62</v>
      </c>
      <c r="C33" s="171" t="s">
        <v>63</v>
      </c>
      <c r="D33" s="171"/>
      <c r="E33" s="174" t="s">
        <v>70</v>
      </c>
      <c r="F33" s="173">
        <f>6*6*2.044*1.2*2*2*3</f>
        <v>1059.6096</v>
      </c>
      <c r="G33" s="4" t="s">
        <v>113</v>
      </c>
      <c r="H33" s="105">
        <v>0</v>
      </c>
      <c r="I33" s="88">
        <f t="shared" si="3"/>
        <v>0</v>
      </c>
      <c r="J33" s="86"/>
    </row>
    <row r="34" spans="1:10" x14ac:dyDescent="0.2">
      <c r="A34" s="4"/>
      <c r="B34" s="13" t="s">
        <v>62</v>
      </c>
      <c r="C34" s="171" t="s">
        <v>63</v>
      </c>
      <c r="D34" s="171"/>
      <c r="E34" s="174" t="s">
        <v>66</v>
      </c>
      <c r="F34" s="173">
        <f>4*6*2*3</f>
        <v>144</v>
      </c>
      <c r="G34" s="4" t="s">
        <v>114</v>
      </c>
      <c r="H34" s="105">
        <v>0</v>
      </c>
      <c r="I34" s="88">
        <f t="shared" si="3"/>
        <v>0</v>
      </c>
      <c r="J34" s="86"/>
    </row>
    <row r="35" spans="1:10" x14ac:dyDescent="0.2">
      <c r="A35" s="4"/>
      <c r="B35" s="13" t="s">
        <v>62</v>
      </c>
      <c r="C35" s="171" t="s">
        <v>63</v>
      </c>
      <c r="D35" s="171"/>
      <c r="E35" s="174" t="s">
        <v>67</v>
      </c>
      <c r="F35" s="173">
        <f>7*7*4*3/27</f>
        <v>21.777777777777779</v>
      </c>
      <c r="G35" s="4" t="s">
        <v>112</v>
      </c>
      <c r="H35" s="105">
        <v>0</v>
      </c>
      <c r="I35" s="88">
        <f t="shared" si="3"/>
        <v>0</v>
      </c>
      <c r="J35" s="86"/>
    </row>
    <row r="36" spans="1:10" x14ac:dyDescent="0.2">
      <c r="A36" s="4"/>
      <c r="B36" s="13" t="s">
        <v>62</v>
      </c>
      <c r="C36" s="171" t="s">
        <v>63</v>
      </c>
      <c r="D36" s="171"/>
      <c r="E36" s="174" t="s">
        <v>68</v>
      </c>
      <c r="F36" s="173">
        <f>F34-F31</f>
        <v>144</v>
      </c>
      <c r="G36" s="4" t="s">
        <v>112</v>
      </c>
      <c r="H36" s="105">
        <v>0</v>
      </c>
      <c r="I36" s="88">
        <f t="shared" si="3"/>
        <v>0</v>
      </c>
      <c r="J36" s="86"/>
    </row>
    <row r="37" spans="1:10" x14ac:dyDescent="0.2">
      <c r="A37" s="4"/>
      <c r="B37" s="13"/>
      <c r="C37" s="171"/>
      <c r="D37" s="171"/>
      <c r="E37" s="174"/>
      <c r="F37" s="173"/>
      <c r="G37" s="4"/>
      <c r="H37" s="105"/>
      <c r="I37" s="88"/>
      <c r="J37" s="86"/>
    </row>
    <row r="38" spans="1:10" ht="78.75" x14ac:dyDescent="0.2">
      <c r="A38" s="4"/>
      <c r="B38" s="13"/>
      <c r="C38" s="171"/>
      <c r="D38" s="171"/>
      <c r="E38" s="172" t="s">
        <v>71</v>
      </c>
      <c r="F38" s="173"/>
      <c r="G38" s="4"/>
      <c r="H38" s="105"/>
      <c r="I38" s="88"/>
      <c r="J38" s="86"/>
    </row>
    <row r="39" spans="1:10" x14ac:dyDescent="0.2">
      <c r="A39" s="4"/>
      <c r="B39" s="13" t="s">
        <v>62</v>
      </c>
      <c r="C39" s="171" t="s">
        <v>63</v>
      </c>
      <c r="D39" s="171"/>
      <c r="E39" s="174" t="s">
        <v>64</v>
      </c>
      <c r="F39" s="173">
        <f>24*6*2.5*3/27</f>
        <v>40</v>
      </c>
      <c r="G39" s="4" t="s">
        <v>112</v>
      </c>
      <c r="H39" s="105">
        <v>0</v>
      </c>
      <c r="I39" s="88">
        <f t="shared" si="3"/>
        <v>0</v>
      </c>
      <c r="J39" s="86"/>
    </row>
    <row r="40" spans="1:10" x14ac:dyDescent="0.2">
      <c r="A40" s="4"/>
      <c r="B40" s="13" t="s">
        <v>62</v>
      </c>
      <c r="C40" s="171" t="s">
        <v>63</v>
      </c>
      <c r="D40" s="171"/>
      <c r="E40" s="174" t="s">
        <v>65</v>
      </c>
      <c r="F40" s="173">
        <f>2.044*1.2*2*2*24*6*1.13/0.83</f>
        <v>1923.4680289156624</v>
      </c>
      <c r="G40" s="4" t="s">
        <v>113</v>
      </c>
      <c r="H40" s="105">
        <v>0</v>
      </c>
      <c r="I40" s="88">
        <f t="shared" si="3"/>
        <v>0</v>
      </c>
      <c r="J40" s="86"/>
    </row>
    <row r="41" spans="1:10" x14ac:dyDescent="0.2">
      <c r="A41" s="4"/>
      <c r="B41" s="13" t="s">
        <v>62</v>
      </c>
      <c r="C41" s="171" t="s">
        <v>63</v>
      </c>
      <c r="D41" s="171"/>
      <c r="E41" s="174" t="s">
        <v>66</v>
      </c>
      <c r="F41" s="173">
        <f>2*30*2.5*3</f>
        <v>450</v>
      </c>
      <c r="G41" s="4" t="s">
        <v>114</v>
      </c>
      <c r="H41" s="105">
        <v>0</v>
      </c>
      <c r="I41" s="88">
        <f t="shared" si="3"/>
        <v>0</v>
      </c>
      <c r="J41" s="86"/>
    </row>
    <row r="42" spans="1:10" x14ac:dyDescent="0.2">
      <c r="A42" s="4"/>
      <c r="B42" s="13" t="s">
        <v>62</v>
      </c>
      <c r="C42" s="171" t="s">
        <v>63</v>
      </c>
      <c r="D42" s="171"/>
      <c r="E42" s="174" t="s">
        <v>67</v>
      </c>
      <c r="F42" s="173">
        <f>25*7*5*3/27</f>
        <v>97.222222222222229</v>
      </c>
      <c r="G42" s="4" t="s">
        <v>112</v>
      </c>
      <c r="H42" s="105">
        <v>0</v>
      </c>
      <c r="I42" s="88">
        <f t="shared" si="3"/>
        <v>0</v>
      </c>
      <c r="J42" s="86"/>
    </row>
    <row r="43" spans="1:10" x14ac:dyDescent="0.2">
      <c r="A43" s="4"/>
      <c r="B43" s="13" t="s">
        <v>62</v>
      </c>
      <c r="C43" s="171" t="s">
        <v>63</v>
      </c>
      <c r="D43" s="171"/>
      <c r="E43" s="174" t="s">
        <v>68</v>
      </c>
      <c r="F43" s="173">
        <f>F42-F39</f>
        <v>57.222222222222229</v>
      </c>
      <c r="G43" s="4" t="s">
        <v>112</v>
      </c>
      <c r="H43" s="105">
        <v>0</v>
      </c>
      <c r="I43" s="88">
        <f t="shared" si="3"/>
        <v>0</v>
      </c>
      <c r="J43" s="86"/>
    </row>
    <row r="44" spans="1:10" x14ac:dyDescent="0.2">
      <c r="A44" s="4"/>
      <c r="B44" s="13"/>
      <c r="C44" s="171"/>
      <c r="D44" s="171"/>
      <c r="E44" s="174"/>
      <c r="F44" s="173"/>
      <c r="G44" s="4"/>
      <c r="H44" s="105"/>
      <c r="I44" s="88"/>
      <c r="J44" s="86"/>
    </row>
    <row r="45" spans="1:10" ht="78.75" x14ac:dyDescent="0.2">
      <c r="A45" s="4"/>
      <c r="B45" s="13"/>
      <c r="C45" s="171"/>
      <c r="D45" s="171"/>
      <c r="E45" s="172" t="s">
        <v>72</v>
      </c>
      <c r="F45" s="173"/>
      <c r="G45" s="4"/>
      <c r="H45" s="105"/>
      <c r="I45" s="88"/>
      <c r="J45" s="86"/>
    </row>
    <row r="46" spans="1:10" x14ac:dyDescent="0.2">
      <c r="A46" s="4"/>
      <c r="B46" s="13" t="s">
        <v>62</v>
      </c>
      <c r="C46" s="171" t="s">
        <v>63</v>
      </c>
      <c r="D46" s="171"/>
      <c r="E46" s="174" t="s">
        <v>64</v>
      </c>
      <c r="F46" s="173">
        <f>21*6*2.5/27</f>
        <v>11.666666666666666</v>
      </c>
      <c r="G46" s="4" t="s">
        <v>112</v>
      </c>
      <c r="H46" s="105">
        <v>0</v>
      </c>
      <c r="I46" s="88">
        <f t="shared" si="3"/>
        <v>0</v>
      </c>
      <c r="J46" s="86"/>
    </row>
    <row r="47" spans="1:10" x14ac:dyDescent="0.2">
      <c r="A47" s="4"/>
      <c r="B47" s="13" t="s">
        <v>62</v>
      </c>
      <c r="C47" s="171" t="s">
        <v>63</v>
      </c>
      <c r="D47" s="171"/>
      <c r="E47" s="174" t="s">
        <v>65</v>
      </c>
      <c r="F47" s="173">
        <f>2.044*1.2*2*2*21*6*1.13/0.83</f>
        <v>1683.0345253012044</v>
      </c>
      <c r="G47" s="4" t="s">
        <v>113</v>
      </c>
      <c r="H47" s="105">
        <v>0</v>
      </c>
      <c r="I47" s="88">
        <f t="shared" si="3"/>
        <v>0</v>
      </c>
      <c r="J47" s="86"/>
    </row>
    <row r="48" spans="1:10" x14ac:dyDescent="0.2">
      <c r="A48" s="4"/>
      <c r="B48" s="13" t="s">
        <v>62</v>
      </c>
      <c r="C48" s="171" t="s">
        <v>63</v>
      </c>
      <c r="D48" s="171"/>
      <c r="E48" s="174" t="s">
        <v>66</v>
      </c>
      <c r="F48" s="173">
        <f>2*27*2.5</f>
        <v>135</v>
      </c>
      <c r="G48" s="4" t="s">
        <v>114</v>
      </c>
      <c r="H48" s="105">
        <v>0</v>
      </c>
      <c r="I48" s="88">
        <f t="shared" si="3"/>
        <v>0</v>
      </c>
      <c r="J48" s="86"/>
    </row>
    <row r="49" spans="1:10" x14ac:dyDescent="0.2">
      <c r="A49" s="4"/>
      <c r="B49" s="13" t="s">
        <v>62</v>
      </c>
      <c r="C49" s="171" t="s">
        <v>63</v>
      </c>
      <c r="D49" s="171"/>
      <c r="E49" s="174" t="s">
        <v>67</v>
      </c>
      <c r="F49" s="173">
        <f>22*7*5/27</f>
        <v>28.518518518518519</v>
      </c>
      <c r="G49" s="4" t="s">
        <v>112</v>
      </c>
      <c r="H49" s="105">
        <v>0</v>
      </c>
      <c r="I49" s="88">
        <f t="shared" si="3"/>
        <v>0</v>
      </c>
      <c r="J49" s="86"/>
    </row>
    <row r="50" spans="1:10" x14ac:dyDescent="0.2">
      <c r="A50" s="4"/>
      <c r="B50" s="13" t="s">
        <v>62</v>
      </c>
      <c r="C50" s="171" t="s">
        <v>63</v>
      </c>
      <c r="D50" s="171"/>
      <c r="E50" s="174" t="s">
        <v>68</v>
      </c>
      <c r="F50" s="173">
        <f>F49-F46</f>
        <v>16.851851851851855</v>
      </c>
      <c r="G50" s="4" t="s">
        <v>112</v>
      </c>
      <c r="H50" s="105">
        <v>0</v>
      </c>
      <c r="I50" s="88">
        <f t="shared" si="3"/>
        <v>0</v>
      </c>
      <c r="J50" s="86"/>
    </row>
    <row r="51" spans="1:10" x14ac:dyDescent="0.2">
      <c r="A51" s="4"/>
      <c r="B51" s="13"/>
      <c r="C51" s="171"/>
      <c r="D51" s="171"/>
      <c r="E51" s="174"/>
      <c r="F51" s="173"/>
      <c r="G51" s="4"/>
      <c r="H51" s="105"/>
      <c r="I51" s="88"/>
      <c r="J51" s="86"/>
    </row>
    <row r="52" spans="1:10" ht="78.75" x14ac:dyDescent="0.2">
      <c r="A52" s="4"/>
      <c r="B52" s="13"/>
      <c r="C52" s="171"/>
      <c r="D52" s="171"/>
      <c r="E52" s="172" t="s">
        <v>73</v>
      </c>
      <c r="F52" s="173"/>
      <c r="G52" s="4"/>
      <c r="H52" s="105"/>
      <c r="I52" s="88"/>
      <c r="J52" s="86"/>
    </row>
    <row r="53" spans="1:10" x14ac:dyDescent="0.2">
      <c r="A53" s="4"/>
      <c r="B53" s="13" t="s">
        <v>62</v>
      </c>
      <c r="C53" s="171" t="s">
        <v>63</v>
      </c>
      <c r="D53" s="171"/>
      <c r="E53" s="174" t="s">
        <v>64</v>
      </c>
      <c r="F53" s="173">
        <f>7*7*2*2/27</f>
        <v>7.2592592592592595</v>
      </c>
      <c r="G53" s="4" t="s">
        <v>112</v>
      </c>
      <c r="H53" s="105">
        <v>0</v>
      </c>
      <c r="I53" s="88">
        <f t="shared" si="3"/>
        <v>0</v>
      </c>
      <c r="J53" s="86"/>
    </row>
    <row r="54" spans="1:10" x14ac:dyDescent="0.2">
      <c r="A54" s="4"/>
      <c r="B54" s="13" t="s">
        <v>62</v>
      </c>
      <c r="C54" s="171" t="s">
        <v>63</v>
      </c>
      <c r="D54" s="171"/>
      <c r="E54" s="174" t="s">
        <v>74</v>
      </c>
      <c r="F54" s="173">
        <f>7*7*2.044*1.2*2*2*2</f>
        <v>961.49760000000003</v>
      </c>
      <c r="G54" s="4" t="s">
        <v>113</v>
      </c>
      <c r="H54" s="105">
        <v>0</v>
      </c>
      <c r="I54" s="88">
        <f t="shared" si="3"/>
        <v>0</v>
      </c>
      <c r="J54" s="86"/>
    </row>
    <row r="55" spans="1:10" x14ac:dyDescent="0.2">
      <c r="A55" s="4"/>
      <c r="B55" s="13" t="s">
        <v>62</v>
      </c>
      <c r="C55" s="171" t="s">
        <v>63</v>
      </c>
      <c r="D55" s="171"/>
      <c r="E55" s="174" t="s">
        <v>66</v>
      </c>
      <c r="F55" s="173">
        <f>4*7*2*2</f>
        <v>112</v>
      </c>
      <c r="G55" s="4" t="s">
        <v>114</v>
      </c>
      <c r="H55" s="105">
        <v>0</v>
      </c>
      <c r="I55" s="88">
        <f t="shared" si="3"/>
        <v>0</v>
      </c>
      <c r="J55" s="86"/>
    </row>
    <row r="56" spans="1:10" x14ac:dyDescent="0.2">
      <c r="A56" s="4"/>
      <c r="B56" s="13" t="s">
        <v>62</v>
      </c>
      <c r="C56" s="171" t="s">
        <v>63</v>
      </c>
      <c r="D56" s="171"/>
      <c r="E56" s="174" t="s">
        <v>67</v>
      </c>
      <c r="F56" s="173">
        <f>8*8*4*2/27</f>
        <v>18.962962962962962</v>
      </c>
      <c r="G56" s="4" t="s">
        <v>112</v>
      </c>
      <c r="H56" s="105">
        <v>0</v>
      </c>
      <c r="I56" s="88">
        <f t="shared" si="3"/>
        <v>0</v>
      </c>
      <c r="J56" s="86"/>
    </row>
    <row r="57" spans="1:10" x14ac:dyDescent="0.2">
      <c r="A57" s="4"/>
      <c r="B57" s="13" t="s">
        <v>62</v>
      </c>
      <c r="C57" s="171" t="s">
        <v>63</v>
      </c>
      <c r="D57" s="171"/>
      <c r="E57" s="174" t="s">
        <v>68</v>
      </c>
      <c r="F57" s="173">
        <f>F56-F53</f>
        <v>11.703703703703702</v>
      </c>
      <c r="G57" s="4" t="s">
        <v>112</v>
      </c>
      <c r="H57" s="105">
        <v>0</v>
      </c>
      <c r="I57" s="88">
        <f t="shared" si="3"/>
        <v>0</v>
      </c>
      <c r="J57" s="86"/>
    </row>
    <row r="58" spans="1:10" x14ac:dyDescent="0.2">
      <c r="A58" s="4"/>
      <c r="B58" s="13"/>
      <c r="C58" s="171"/>
      <c r="D58" s="171"/>
      <c r="E58" s="174"/>
      <c r="F58" s="173"/>
      <c r="G58" s="4"/>
      <c r="H58" s="105"/>
      <c r="I58" s="88"/>
      <c r="J58" s="86"/>
    </row>
    <row r="59" spans="1:10" ht="78.75" x14ac:dyDescent="0.2">
      <c r="A59" s="4"/>
      <c r="B59" s="13"/>
      <c r="C59" s="171"/>
      <c r="D59" s="171"/>
      <c r="E59" s="172" t="s">
        <v>75</v>
      </c>
      <c r="F59" s="173"/>
      <c r="G59" s="4"/>
      <c r="H59" s="105"/>
      <c r="I59" s="88"/>
      <c r="J59" s="86"/>
    </row>
    <row r="60" spans="1:10" x14ac:dyDescent="0.2">
      <c r="A60" s="4"/>
      <c r="B60" s="13" t="s">
        <v>62</v>
      </c>
      <c r="C60" s="171" t="s">
        <v>63</v>
      </c>
      <c r="D60" s="171"/>
      <c r="E60" s="174" t="s">
        <v>64</v>
      </c>
      <c r="F60" s="173">
        <f>8*8*2/27</f>
        <v>4.7407407407407405</v>
      </c>
      <c r="G60" s="4" t="s">
        <v>112</v>
      </c>
      <c r="H60" s="105">
        <v>0</v>
      </c>
      <c r="I60" s="88">
        <f t="shared" si="3"/>
        <v>0</v>
      </c>
      <c r="J60" s="86"/>
    </row>
    <row r="61" spans="1:10" x14ac:dyDescent="0.2">
      <c r="A61" s="4"/>
      <c r="B61" s="13" t="s">
        <v>62</v>
      </c>
      <c r="C61" s="171" t="s">
        <v>63</v>
      </c>
      <c r="D61" s="171"/>
      <c r="E61" s="174" t="s">
        <v>74</v>
      </c>
      <c r="F61" s="173">
        <f>7*8*2.044*1.2*2*2</f>
        <v>549.42719999999997</v>
      </c>
      <c r="G61" s="4" t="s">
        <v>113</v>
      </c>
      <c r="H61" s="105">
        <v>0</v>
      </c>
      <c r="I61" s="88">
        <f t="shared" si="3"/>
        <v>0</v>
      </c>
      <c r="J61" s="86"/>
    </row>
    <row r="62" spans="1:10" x14ac:dyDescent="0.2">
      <c r="A62" s="4"/>
      <c r="B62" s="13" t="s">
        <v>62</v>
      </c>
      <c r="C62" s="171" t="s">
        <v>63</v>
      </c>
      <c r="D62" s="171"/>
      <c r="E62" s="174" t="s">
        <v>66</v>
      </c>
      <c r="F62" s="173">
        <f>4*8*2</f>
        <v>64</v>
      </c>
      <c r="G62" s="4" t="s">
        <v>114</v>
      </c>
      <c r="H62" s="105">
        <v>0</v>
      </c>
      <c r="I62" s="88">
        <f t="shared" si="3"/>
        <v>0</v>
      </c>
      <c r="J62" s="86"/>
    </row>
    <row r="63" spans="1:10" x14ac:dyDescent="0.2">
      <c r="A63" s="4"/>
      <c r="B63" s="13" t="s">
        <v>62</v>
      </c>
      <c r="C63" s="171" t="s">
        <v>63</v>
      </c>
      <c r="D63" s="171"/>
      <c r="E63" s="174" t="s">
        <v>67</v>
      </c>
      <c r="F63" s="173">
        <f>9*9*4/27</f>
        <v>12</v>
      </c>
      <c r="G63" s="4" t="s">
        <v>112</v>
      </c>
      <c r="H63" s="105">
        <v>0</v>
      </c>
      <c r="I63" s="88">
        <f t="shared" si="3"/>
        <v>0</v>
      </c>
      <c r="J63" s="86"/>
    </row>
    <row r="64" spans="1:10" x14ac:dyDescent="0.2">
      <c r="A64" s="4"/>
      <c r="B64" s="13" t="s">
        <v>62</v>
      </c>
      <c r="C64" s="171" t="s">
        <v>63</v>
      </c>
      <c r="D64" s="171"/>
      <c r="E64" s="174" t="s">
        <v>68</v>
      </c>
      <c r="F64" s="173">
        <f>F63-F60</f>
        <v>7.2592592592592595</v>
      </c>
      <c r="G64" s="4" t="s">
        <v>112</v>
      </c>
      <c r="H64" s="105">
        <v>0</v>
      </c>
      <c r="I64" s="88">
        <f t="shared" si="3"/>
        <v>0</v>
      </c>
      <c r="J64" s="86"/>
    </row>
    <row r="65" spans="1:10" x14ac:dyDescent="0.2">
      <c r="A65" s="4"/>
      <c r="B65" s="13"/>
      <c r="C65" s="171"/>
      <c r="D65" s="171"/>
      <c r="E65" s="174"/>
      <c r="F65" s="173"/>
      <c r="G65" s="178"/>
      <c r="H65" s="105"/>
      <c r="I65" s="88"/>
      <c r="J65" s="86"/>
    </row>
    <row r="66" spans="1:10" x14ac:dyDescent="0.2">
      <c r="A66" s="4"/>
      <c r="B66" s="13"/>
      <c r="C66" s="171"/>
      <c r="D66" s="171"/>
      <c r="E66" s="175" t="s">
        <v>76</v>
      </c>
      <c r="F66" s="173"/>
      <c r="G66" s="178"/>
      <c r="H66" s="105"/>
      <c r="I66" s="88"/>
      <c r="J66" s="86"/>
    </row>
    <row r="67" spans="1:10" x14ac:dyDescent="0.2">
      <c r="A67" s="4"/>
      <c r="B67" s="13" t="s">
        <v>62</v>
      </c>
      <c r="C67" s="171" t="s">
        <v>63</v>
      </c>
      <c r="D67" s="171"/>
      <c r="E67" s="174" t="s">
        <v>76</v>
      </c>
      <c r="F67" s="173">
        <v>18</v>
      </c>
      <c r="G67" s="4" t="s">
        <v>55</v>
      </c>
      <c r="H67" s="105">
        <v>0</v>
      </c>
      <c r="I67" s="88">
        <f t="shared" si="3"/>
        <v>0</v>
      </c>
      <c r="J67" s="86"/>
    </row>
    <row r="68" spans="1:10" x14ac:dyDescent="0.2">
      <c r="A68" s="4"/>
      <c r="B68" s="13"/>
      <c r="C68" s="171"/>
      <c r="D68" s="171"/>
      <c r="E68" s="176"/>
      <c r="F68" s="173"/>
      <c r="G68" s="13"/>
      <c r="H68" s="105"/>
      <c r="I68" s="88"/>
      <c r="J68" s="86"/>
    </row>
    <row r="69" spans="1:10" x14ac:dyDescent="0.2">
      <c r="A69" s="4"/>
      <c r="B69" s="13"/>
      <c r="C69" s="167"/>
      <c r="D69" s="168"/>
      <c r="E69" s="169" t="s">
        <v>77</v>
      </c>
      <c r="F69" s="170"/>
      <c r="G69" s="179"/>
      <c r="H69" s="105"/>
      <c r="I69" s="88"/>
      <c r="J69" s="86"/>
    </row>
    <row r="70" spans="1:10" ht="78.75" x14ac:dyDescent="0.2">
      <c r="A70" s="4"/>
      <c r="B70" s="13"/>
      <c r="C70" s="171"/>
      <c r="D70" s="171"/>
      <c r="E70" s="172" t="s">
        <v>78</v>
      </c>
      <c r="F70" s="173"/>
      <c r="G70" s="4"/>
      <c r="H70" s="105"/>
      <c r="I70" s="88"/>
      <c r="J70" s="86"/>
    </row>
    <row r="71" spans="1:10" x14ac:dyDescent="0.2">
      <c r="A71" s="4"/>
      <c r="B71" s="13" t="s">
        <v>62</v>
      </c>
      <c r="C71" s="171" t="s">
        <v>63</v>
      </c>
      <c r="D71" s="171"/>
      <c r="E71" s="174" t="s">
        <v>64</v>
      </c>
      <c r="F71" s="173">
        <f>2*2*1.67*8/27</f>
        <v>1.9792592592592593</v>
      </c>
      <c r="G71" s="4" t="s">
        <v>112</v>
      </c>
      <c r="H71" s="105">
        <v>0</v>
      </c>
      <c r="I71" s="88">
        <f t="shared" si="3"/>
        <v>0</v>
      </c>
      <c r="J71" s="86"/>
    </row>
    <row r="72" spans="1:10" x14ac:dyDescent="0.2">
      <c r="A72" s="4"/>
      <c r="B72" s="13" t="s">
        <v>62</v>
      </c>
      <c r="C72" s="171" t="s">
        <v>63</v>
      </c>
      <c r="D72" s="171"/>
      <c r="E72" s="174" t="s">
        <v>79</v>
      </c>
      <c r="F72" s="173">
        <f>4*4*1.5*1.2*8</f>
        <v>230.39999999999998</v>
      </c>
      <c r="G72" s="4" t="s">
        <v>113</v>
      </c>
      <c r="H72" s="105">
        <v>0</v>
      </c>
      <c r="I72" s="88">
        <f t="shared" si="3"/>
        <v>0</v>
      </c>
      <c r="J72" s="86"/>
    </row>
    <row r="73" spans="1:10" x14ac:dyDescent="0.2">
      <c r="A73" s="4"/>
      <c r="B73" s="13" t="s">
        <v>62</v>
      </c>
      <c r="C73" s="171" t="s">
        <v>63</v>
      </c>
      <c r="D73" s="171"/>
      <c r="E73" s="174" t="s">
        <v>80</v>
      </c>
      <c r="F73" s="173">
        <f>4*8.5*0.376*1.2*8</f>
        <v>122.7264</v>
      </c>
      <c r="G73" s="4" t="s">
        <v>113</v>
      </c>
      <c r="H73" s="105">
        <v>0</v>
      </c>
      <c r="I73" s="88">
        <f t="shared" si="3"/>
        <v>0</v>
      </c>
      <c r="J73" s="86"/>
    </row>
    <row r="74" spans="1:10" x14ac:dyDescent="0.2">
      <c r="A74" s="4"/>
      <c r="B74" s="13" t="s">
        <v>62</v>
      </c>
      <c r="C74" s="171" t="s">
        <v>63</v>
      </c>
      <c r="D74" s="171"/>
      <c r="E74" s="174" t="s">
        <v>81</v>
      </c>
      <c r="F74" s="173">
        <f>4*2*1.67*8</f>
        <v>106.88</v>
      </c>
      <c r="G74" s="4" t="s">
        <v>114</v>
      </c>
      <c r="H74" s="105">
        <v>0</v>
      </c>
      <c r="I74" s="88">
        <f t="shared" si="3"/>
        <v>0</v>
      </c>
      <c r="J74" s="86"/>
    </row>
    <row r="75" spans="1:10" x14ac:dyDescent="0.2">
      <c r="A75" s="4"/>
      <c r="B75" s="13"/>
      <c r="C75" s="171"/>
      <c r="D75" s="171"/>
      <c r="E75" s="176"/>
      <c r="F75" s="173"/>
      <c r="G75" s="13"/>
      <c r="H75" s="105"/>
      <c r="I75" s="88"/>
      <c r="J75" s="86"/>
    </row>
    <row r="76" spans="1:10" ht="78.75" x14ac:dyDescent="0.2">
      <c r="A76" s="4"/>
      <c r="B76" s="13"/>
      <c r="C76" s="171"/>
      <c r="D76" s="171"/>
      <c r="E76" s="172" t="s">
        <v>82</v>
      </c>
      <c r="F76" s="173"/>
      <c r="G76" s="4"/>
      <c r="H76" s="105"/>
      <c r="I76" s="88"/>
      <c r="J76" s="86"/>
    </row>
    <row r="77" spans="1:10" x14ac:dyDescent="0.2">
      <c r="A77" s="4"/>
      <c r="B77" s="13" t="s">
        <v>62</v>
      </c>
      <c r="C77" s="171" t="s">
        <v>63</v>
      </c>
      <c r="D77" s="171"/>
      <c r="E77" s="174" t="s">
        <v>64</v>
      </c>
      <c r="F77" s="173">
        <f>3.5*3.5*1.67*8/27</f>
        <v>6.061481481481481</v>
      </c>
      <c r="G77" s="4" t="s">
        <v>112</v>
      </c>
      <c r="H77" s="105">
        <v>0</v>
      </c>
      <c r="I77" s="88">
        <f t="shared" si="3"/>
        <v>0</v>
      </c>
      <c r="J77" s="86"/>
    </row>
    <row r="78" spans="1:10" x14ac:dyDescent="0.2">
      <c r="A78" s="4"/>
      <c r="B78" s="13" t="s">
        <v>62</v>
      </c>
      <c r="C78" s="171" t="s">
        <v>63</v>
      </c>
      <c r="D78" s="171"/>
      <c r="E78" s="174" t="s">
        <v>83</v>
      </c>
      <c r="F78" s="173">
        <f>14*4*1.043*1.2*8</f>
        <v>560.71679999999992</v>
      </c>
      <c r="G78" s="4" t="s">
        <v>113</v>
      </c>
      <c r="H78" s="105">
        <v>0</v>
      </c>
      <c r="I78" s="88">
        <f t="shared" si="3"/>
        <v>0</v>
      </c>
      <c r="J78" s="86"/>
    </row>
    <row r="79" spans="1:10" x14ac:dyDescent="0.2">
      <c r="A79" s="4"/>
      <c r="B79" s="13" t="s">
        <v>62</v>
      </c>
      <c r="C79" s="171" t="s">
        <v>63</v>
      </c>
      <c r="D79" s="171"/>
      <c r="E79" s="174" t="s">
        <v>84</v>
      </c>
      <c r="F79" s="173">
        <f>4*14.5*0.668*1.2*8</f>
        <v>371.94239999999996</v>
      </c>
      <c r="G79" s="4" t="s">
        <v>113</v>
      </c>
      <c r="H79" s="105">
        <v>0</v>
      </c>
      <c r="I79" s="88">
        <f t="shared" si="3"/>
        <v>0</v>
      </c>
      <c r="J79" s="86"/>
    </row>
    <row r="80" spans="1:10" x14ac:dyDescent="0.2">
      <c r="A80" s="4"/>
      <c r="B80" s="13" t="s">
        <v>62</v>
      </c>
      <c r="C80" s="171" t="s">
        <v>63</v>
      </c>
      <c r="D80" s="171"/>
      <c r="E80" s="174" t="s">
        <v>81</v>
      </c>
      <c r="F80" s="173">
        <f>4*3.5*1.67*8</f>
        <v>187.04</v>
      </c>
      <c r="G80" s="4" t="s">
        <v>114</v>
      </c>
      <c r="H80" s="105">
        <v>0</v>
      </c>
      <c r="I80" s="88">
        <f t="shared" si="3"/>
        <v>0</v>
      </c>
      <c r="J80" s="86"/>
    </row>
    <row r="81" spans="1:10" x14ac:dyDescent="0.2">
      <c r="A81" s="4"/>
      <c r="B81" s="13"/>
      <c r="C81" s="171"/>
      <c r="D81" s="171"/>
      <c r="E81" s="176"/>
      <c r="F81" s="173"/>
      <c r="G81" s="13"/>
      <c r="H81" s="105"/>
      <c r="I81" s="88"/>
      <c r="J81" s="86"/>
    </row>
    <row r="82" spans="1:10" ht="78.75" x14ac:dyDescent="0.2">
      <c r="A82" s="4"/>
      <c r="B82" s="13"/>
      <c r="C82" s="171"/>
      <c r="D82" s="171"/>
      <c r="E82" s="172" t="s">
        <v>85</v>
      </c>
      <c r="F82" s="173"/>
      <c r="G82" s="4"/>
      <c r="H82" s="105"/>
      <c r="I82" s="88"/>
      <c r="J82" s="86"/>
    </row>
    <row r="83" spans="1:10" x14ac:dyDescent="0.2">
      <c r="A83" s="4"/>
      <c r="B83" s="13" t="s">
        <v>62</v>
      </c>
      <c r="C83" s="171" t="s">
        <v>63</v>
      </c>
      <c r="D83" s="171"/>
      <c r="E83" s="174" t="s">
        <v>64</v>
      </c>
      <c r="F83" s="173">
        <f>3.42*2.3*3/27</f>
        <v>0.874</v>
      </c>
      <c r="G83" s="4" t="s">
        <v>112</v>
      </c>
      <c r="H83" s="105">
        <v>0</v>
      </c>
      <c r="I83" s="88">
        <f t="shared" si="3"/>
        <v>0</v>
      </c>
      <c r="J83" s="86"/>
    </row>
    <row r="84" spans="1:10" x14ac:dyDescent="0.2">
      <c r="A84" s="4"/>
      <c r="B84" s="13" t="s">
        <v>62</v>
      </c>
      <c r="C84" s="171" t="s">
        <v>63</v>
      </c>
      <c r="D84" s="171"/>
      <c r="E84" s="174" t="s">
        <v>86</v>
      </c>
      <c r="F84" s="173">
        <f>3*4.5*0.376*1.2</f>
        <v>6.0911999999999997</v>
      </c>
      <c r="G84" s="4" t="s">
        <v>113</v>
      </c>
      <c r="H84" s="105">
        <v>0</v>
      </c>
      <c r="I84" s="88">
        <f t="shared" si="3"/>
        <v>0</v>
      </c>
      <c r="J84" s="86"/>
    </row>
    <row r="85" spans="1:10" x14ac:dyDescent="0.2">
      <c r="A85" s="4"/>
      <c r="B85" s="13" t="s">
        <v>62</v>
      </c>
      <c r="C85" s="171" t="s">
        <v>63</v>
      </c>
      <c r="D85" s="171"/>
      <c r="E85" s="174" t="s">
        <v>87</v>
      </c>
      <c r="F85" s="173">
        <f>4*10.5*0.376*1.2</f>
        <v>18.950399999999998</v>
      </c>
      <c r="G85" s="4" t="s">
        <v>113</v>
      </c>
      <c r="H85" s="105">
        <v>0</v>
      </c>
      <c r="I85" s="88">
        <f t="shared" si="3"/>
        <v>0</v>
      </c>
      <c r="J85" s="86"/>
    </row>
    <row r="86" spans="1:10" x14ac:dyDescent="0.2">
      <c r="A86" s="4"/>
      <c r="B86" s="13" t="s">
        <v>62</v>
      </c>
      <c r="C86" s="171" t="s">
        <v>63</v>
      </c>
      <c r="D86" s="171"/>
      <c r="E86" s="174" t="s">
        <v>81</v>
      </c>
      <c r="F86" s="173">
        <f>2*(3.42+2.3)*3</f>
        <v>34.32</v>
      </c>
      <c r="G86" s="4" t="s">
        <v>114</v>
      </c>
      <c r="H86" s="105">
        <v>0</v>
      </c>
      <c r="I86" s="88">
        <f t="shared" si="3"/>
        <v>0</v>
      </c>
      <c r="J86" s="86"/>
    </row>
    <row r="87" spans="1:10" x14ac:dyDescent="0.2">
      <c r="A87" s="4"/>
      <c r="B87" s="13"/>
      <c r="C87" s="171"/>
      <c r="D87" s="171"/>
      <c r="E87" s="176"/>
      <c r="F87" s="173"/>
      <c r="G87" s="13"/>
      <c r="H87" s="105"/>
      <c r="I87" s="88"/>
      <c r="J87" s="86"/>
    </row>
    <row r="88" spans="1:10" ht="78.75" x14ac:dyDescent="0.2">
      <c r="A88" s="4"/>
      <c r="B88" s="13"/>
      <c r="C88" s="171"/>
      <c r="D88" s="171"/>
      <c r="E88" s="172" t="s">
        <v>88</v>
      </c>
      <c r="F88" s="173"/>
      <c r="G88" s="4"/>
      <c r="H88" s="105"/>
      <c r="I88" s="88"/>
      <c r="J88" s="86"/>
    </row>
    <row r="89" spans="1:10" x14ac:dyDescent="0.2">
      <c r="A89" s="4"/>
      <c r="B89" s="13" t="s">
        <v>62</v>
      </c>
      <c r="C89" s="171" t="s">
        <v>63</v>
      </c>
      <c r="D89" s="171"/>
      <c r="E89" s="174" t="s">
        <v>64</v>
      </c>
      <c r="F89" s="173">
        <f>3.42*3*3/27</f>
        <v>1.1400000000000001</v>
      </c>
      <c r="G89" s="4" t="s">
        <v>112</v>
      </c>
      <c r="H89" s="105">
        <v>0</v>
      </c>
      <c r="I89" s="88">
        <f t="shared" si="3"/>
        <v>0</v>
      </c>
      <c r="J89" s="86"/>
    </row>
    <row r="90" spans="1:10" x14ac:dyDescent="0.2">
      <c r="A90" s="4"/>
      <c r="B90" s="13" t="s">
        <v>62</v>
      </c>
      <c r="C90" s="171" t="s">
        <v>63</v>
      </c>
      <c r="D90" s="171"/>
      <c r="E90" s="174" t="s">
        <v>89</v>
      </c>
      <c r="F90" s="173">
        <f>1.043*1.2*2*2*3.42*3*1.13</f>
        <v>58.04320031999999</v>
      </c>
      <c r="G90" s="4" t="s">
        <v>113</v>
      </c>
      <c r="H90" s="105">
        <v>0</v>
      </c>
      <c r="I90" s="88">
        <f t="shared" si="3"/>
        <v>0</v>
      </c>
      <c r="J90" s="86"/>
    </row>
    <row r="91" spans="1:10" x14ac:dyDescent="0.2">
      <c r="A91" s="4"/>
      <c r="B91" s="13" t="s">
        <v>62</v>
      </c>
      <c r="C91" s="171" t="s">
        <v>63</v>
      </c>
      <c r="D91" s="171"/>
      <c r="E91" s="174" t="s">
        <v>81</v>
      </c>
      <c r="F91" s="173">
        <f>2*(3.42+3)*3</f>
        <v>38.519999999999996</v>
      </c>
      <c r="G91" s="4" t="s">
        <v>114</v>
      </c>
      <c r="H91" s="105">
        <v>0</v>
      </c>
      <c r="I91" s="88">
        <f t="shared" si="3"/>
        <v>0</v>
      </c>
      <c r="J91" s="86"/>
    </row>
    <row r="92" spans="1:10" x14ac:dyDescent="0.2">
      <c r="A92" s="4"/>
      <c r="B92" s="13"/>
      <c r="C92" s="171"/>
      <c r="D92" s="171"/>
      <c r="E92" s="176"/>
      <c r="F92" s="173"/>
      <c r="G92" s="13"/>
      <c r="H92" s="105"/>
      <c r="I92" s="88"/>
      <c r="J92" s="86"/>
    </row>
    <row r="93" spans="1:10" x14ac:dyDescent="0.2">
      <c r="A93" s="4"/>
      <c r="B93" s="13"/>
      <c r="C93" s="167"/>
      <c r="D93" s="168"/>
      <c r="E93" s="169" t="s">
        <v>90</v>
      </c>
      <c r="F93" s="170"/>
      <c r="G93" s="179"/>
      <c r="H93" s="105"/>
      <c r="I93" s="88"/>
      <c r="J93" s="86"/>
    </row>
    <row r="94" spans="1:10" x14ac:dyDescent="0.2">
      <c r="A94" s="4"/>
      <c r="B94" s="13"/>
      <c r="C94" s="171"/>
      <c r="D94" s="171"/>
      <c r="E94" s="172" t="s">
        <v>91</v>
      </c>
      <c r="F94" s="173"/>
      <c r="G94" s="4"/>
      <c r="H94" s="105"/>
      <c r="I94" s="88"/>
      <c r="J94" s="86"/>
    </row>
    <row r="95" spans="1:10" ht="31.5" x14ac:dyDescent="0.2">
      <c r="A95" s="4"/>
      <c r="B95" s="13" t="s">
        <v>62</v>
      </c>
      <c r="C95" s="171" t="s">
        <v>63</v>
      </c>
      <c r="D95" s="177">
        <f>H95*0.334/27</f>
        <v>0</v>
      </c>
      <c r="E95" s="174" t="s">
        <v>92</v>
      </c>
      <c r="F95" s="173">
        <v>4817</v>
      </c>
      <c r="G95" s="4" t="s">
        <v>17</v>
      </c>
      <c r="H95" s="105">
        <v>0</v>
      </c>
      <c r="I95" s="88">
        <f t="shared" ref="I95:I122" si="4">H95*F95</f>
        <v>0</v>
      </c>
      <c r="J95" s="86"/>
    </row>
    <row r="96" spans="1:10" x14ac:dyDescent="0.2">
      <c r="A96" s="4"/>
      <c r="B96" s="13" t="s">
        <v>62</v>
      </c>
      <c r="C96" s="171" t="s">
        <v>63</v>
      </c>
      <c r="D96" s="171"/>
      <c r="E96" s="174" t="s">
        <v>93</v>
      </c>
      <c r="F96" s="173">
        <v>306</v>
      </c>
      <c r="G96" s="4" t="s">
        <v>18</v>
      </c>
      <c r="H96" s="105">
        <v>0</v>
      </c>
      <c r="I96" s="88">
        <f t="shared" si="4"/>
        <v>0</v>
      </c>
      <c r="J96" s="86"/>
    </row>
    <row r="97" spans="1:10" x14ac:dyDescent="0.2">
      <c r="A97" s="4"/>
      <c r="B97" s="13" t="s">
        <v>62</v>
      </c>
      <c r="C97" s="171" t="s">
        <v>63</v>
      </c>
      <c r="D97" s="171"/>
      <c r="E97" s="174" t="s">
        <v>94</v>
      </c>
      <c r="F97" s="173">
        <f>F95</f>
        <v>4817</v>
      </c>
      <c r="G97" s="4" t="s">
        <v>17</v>
      </c>
      <c r="H97" s="105">
        <v>0</v>
      </c>
      <c r="I97" s="88">
        <f t="shared" si="4"/>
        <v>0</v>
      </c>
      <c r="J97" s="86"/>
    </row>
    <row r="98" spans="1:10" x14ac:dyDescent="0.2">
      <c r="A98" s="4"/>
      <c r="B98" s="13" t="s">
        <v>62</v>
      </c>
      <c r="C98" s="171" t="s">
        <v>95</v>
      </c>
      <c r="D98" s="171"/>
      <c r="E98" s="174" t="s">
        <v>96</v>
      </c>
      <c r="F98" s="173">
        <f>F97*0.33/27</f>
        <v>58.87444444444445</v>
      </c>
      <c r="G98" s="4" t="s">
        <v>112</v>
      </c>
      <c r="H98" s="105">
        <v>0</v>
      </c>
      <c r="I98" s="88">
        <f t="shared" si="4"/>
        <v>0</v>
      </c>
      <c r="J98" s="86"/>
    </row>
    <row r="99" spans="1:10" x14ac:dyDescent="0.2">
      <c r="A99" s="4"/>
      <c r="B99" s="13" t="s">
        <v>62</v>
      </c>
      <c r="C99" s="171" t="s">
        <v>63</v>
      </c>
      <c r="D99" s="171"/>
      <c r="E99" s="174" t="s">
        <v>97</v>
      </c>
      <c r="F99" s="173">
        <f>F97</f>
        <v>4817</v>
      </c>
      <c r="G99" s="4" t="s">
        <v>17</v>
      </c>
      <c r="H99" s="105">
        <v>0</v>
      </c>
      <c r="I99" s="88">
        <f t="shared" si="4"/>
        <v>0</v>
      </c>
      <c r="J99" s="86"/>
    </row>
    <row r="100" spans="1:10" x14ac:dyDescent="0.2">
      <c r="A100" s="4"/>
      <c r="B100" s="13" t="s">
        <v>62</v>
      </c>
      <c r="C100" s="171" t="s">
        <v>63</v>
      </c>
      <c r="D100" s="171"/>
      <c r="E100" s="174" t="s">
        <v>98</v>
      </c>
      <c r="F100" s="173">
        <f>0.16*F97</f>
        <v>770.72</v>
      </c>
      <c r="G100" s="4" t="s">
        <v>18</v>
      </c>
      <c r="H100" s="105">
        <v>0</v>
      </c>
      <c r="I100" s="88">
        <f t="shared" si="4"/>
        <v>0</v>
      </c>
      <c r="J100" s="86"/>
    </row>
    <row r="101" spans="1:10" x14ac:dyDescent="0.2">
      <c r="A101" s="4"/>
      <c r="B101" s="13" t="s">
        <v>62</v>
      </c>
      <c r="C101" s="171" t="s">
        <v>63</v>
      </c>
      <c r="D101" s="171"/>
      <c r="E101" s="174" t="s">
        <v>99</v>
      </c>
      <c r="F101" s="173">
        <f>F96</f>
        <v>306</v>
      </c>
      <c r="G101" s="4" t="s">
        <v>18</v>
      </c>
      <c r="H101" s="105">
        <v>0</v>
      </c>
      <c r="I101" s="88">
        <f t="shared" si="4"/>
        <v>0</v>
      </c>
      <c r="J101" s="86"/>
    </row>
    <row r="102" spans="1:10" x14ac:dyDescent="0.2">
      <c r="A102" s="4"/>
      <c r="B102" s="13"/>
      <c r="C102" s="171"/>
      <c r="D102" s="171"/>
      <c r="E102" s="172" t="s">
        <v>100</v>
      </c>
      <c r="F102" s="173"/>
      <c r="G102" s="4"/>
      <c r="H102" s="105"/>
      <c r="I102" s="88"/>
      <c r="J102" s="86"/>
    </row>
    <row r="103" spans="1:10" ht="31.5" x14ac:dyDescent="0.2">
      <c r="A103" s="4"/>
      <c r="B103" s="13" t="s">
        <v>62</v>
      </c>
      <c r="C103" s="171" t="s">
        <v>63</v>
      </c>
      <c r="D103" s="177">
        <f>H103*0.5/27</f>
        <v>0</v>
      </c>
      <c r="E103" s="174" t="s">
        <v>101</v>
      </c>
      <c r="F103" s="173">
        <v>735</v>
      </c>
      <c r="G103" s="4" t="s">
        <v>17</v>
      </c>
      <c r="H103" s="105">
        <v>0</v>
      </c>
      <c r="I103" s="88">
        <f t="shared" si="4"/>
        <v>0</v>
      </c>
      <c r="J103" s="86"/>
    </row>
    <row r="104" spans="1:10" x14ac:dyDescent="0.2">
      <c r="A104" s="4"/>
      <c r="B104" s="13" t="s">
        <v>62</v>
      </c>
      <c r="C104" s="171" t="s">
        <v>63</v>
      </c>
      <c r="D104" s="171"/>
      <c r="E104" s="174" t="s">
        <v>102</v>
      </c>
      <c r="F104" s="173">
        <v>158</v>
      </c>
      <c r="G104" s="4" t="s">
        <v>18</v>
      </c>
      <c r="H104" s="105">
        <v>0</v>
      </c>
      <c r="I104" s="88">
        <f t="shared" si="4"/>
        <v>0</v>
      </c>
      <c r="J104" s="86"/>
    </row>
    <row r="105" spans="1:10" x14ac:dyDescent="0.2">
      <c r="A105" s="4"/>
      <c r="B105" s="13" t="s">
        <v>62</v>
      </c>
      <c r="C105" s="171" t="s">
        <v>63</v>
      </c>
      <c r="D105" s="171"/>
      <c r="E105" s="174" t="s">
        <v>94</v>
      </c>
      <c r="F105" s="173">
        <f>F103</f>
        <v>735</v>
      </c>
      <c r="G105" s="4" t="s">
        <v>17</v>
      </c>
      <c r="H105" s="105">
        <v>0</v>
      </c>
      <c r="I105" s="88">
        <f t="shared" si="4"/>
        <v>0</v>
      </c>
      <c r="J105" s="86"/>
    </row>
    <row r="106" spans="1:10" x14ac:dyDescent="0.2">
      <c r="A106" s="4"/>
      <c r="B106" s="13" t="s">
        <v>62</v>
      </c>
      <c r="C106" s="171" t="s">
        <v>95</v>
      </c>
      <c r="D106" s="171"/>
      <c r="E106" s="174" t="s">
        <v>96</v>
      </c>
      <c r="F106" s="173">
        <f>F105*0.33/27</f>
        <v>8.9833333333333343</v>
      </c>
      <c r="G106" s="4" t="s">
        <v>112</v>
      </c>
      <c r="H106" s="105">
        <v>0</v>
      </c>
      <c r="I106" s="88">
        <f t="shared" si="4"/>
        <v>0</v>
      </c>
      <c r="J106" s="86"/>
    </row>
    <row r="107" spans="1:10" x14ac:dyDescent="0.2">
      <c r="A107" s="4"/>
      <c r="B107" s="13" t="s">
        <v>62</v>
      </c>
      <c r="C107" s="171" t="s">
        <v>63</v>
      </c>
      <c r="D107" s="171"/>
      <c r="E107" s="174" t="s">
        <v>97</v>
      </c>
      <c r="F107" s="173">
        <f>F105</f>
        <v>735</v>
      </c>
      <c r="G107" s="4" t="s">
        <v>17</v>
      </c>
      <c r="H107" s="105">
        <v>0</v>
      </c>
      <c r="I107" s="88">
        <f t="shared" si="4"/>
        <v>0</v>
      </c>
      <c r="J107" s="86"/>
    </row>
    <row r="108" spans="1:10" x14ac:dyDescent="0.2">
      <c r="A108" s="4"/>
      <c r="B108" s="13" t="s">
        <v>62</v>
      </c>
      <c r="C108" s="171" t="s">
        <v>63</v>
      </c>
      <c r="D108" s="171"/>
      <c r="E108" s="174" t="s">
        <v>98</v>
      </c>
      <c r="F108" s="173">
        <f>0.16*F105</f>
        <v>117.60000000000001</v>
      </c>
      <c r="G108" s="4" t="s">
        <v>18</v>
      </c>
      <c r="H108" s="105">
        <v>0</v>
      </c>
      <c r="I108" s="88">
        <f t="shared" si="4"/>
        <v>0</v>
      </c>
      <c r="J108" s="86"/>
    </row>
    <row r="109" spans="1:10" x14ac:dyDescent="0.2">
      <c r="A109" s="4"/>
      <c r="B109" s="13" t="s">
        <v>62</v>
      </c>
      <c r="C109" s="171" t="s">
        <v>63</v>
      </c>
      <c r="D109" s="171"/>
      <c r="E109" s="174" t="s">
        <v>99</v>
      </c>
      <c r="F109" s="173">
        <f>F104</f>
        <v>158</v>
      </c>
      <c r="G109" s="4" t="s">
        <v>18</v>
      </c>
      <c r="H109" s="105">
        <v>0</v>
      </c>
      <c r="I109" s="88">
        <f t="shared" si="4"/>
        <v>0</v>
      </c>
      <c r="J109" s="86"/>
    </row>
    <row r="110" spans="1:10" x14ac:dyDescent="0.2">
      <c r="A110" s="4"/>
      <c r="B110" s="13"/>
      <c r="C110" s="171"/>
      <c r="D110" s="171"/>
      <c r="E110" s="174"/>
      <c r="F110" s="173"/>
      <c r="G110" s="4"/>
      <c r="H110" s="105"/>
      <c r="I110" s="88"/>
      <c r="J110" s="86"/>
    </row>
    <row r="111" spans="1:10" x14ac:dyDescent="0.2">
      <c r="A111" s="4"/>
      <c r="B111" s="13"/>
      <c r="C111" s="171"/>
      <c r="D111" s="171"/>
      <c r="E111" s="175" t="s">
        <v>103</v>
      </c>
      <c r="F111" s="173"/>
      <c r="G111" s="4"/>
      <c r="H111" s="105"/>
      <c r="I111" s="88"/>
      <c r="J111" s="86"/>
    </row>
    <row r="112" spans="1:10" x14ac:dyDescent="0.2">
      <c r="A112" s="4"/>
      <c r="B112" s="13" t="s">
        <v>62</v>
      </c>
      <c r="C112" s="171" t="s">
        <v>104</v>
      </c>
      <c r="D112" s="171"/>
      <c r="E112" s="174" t="s">
        <v>64</v>
      </c>
      <c r="F112" s="173">
        <f>183*0.67*0.33/27</f>
        <v>1.498566666666667</v>
      </c>
      <c r="G112" s="4" t="s">
        <v>112</v>
      </c>
      <c r="H112" s="105">
        <v>0</v>
      </c>
      <c r="I112" s="88">
        <f t="shared" si="4"/>
        <v>0</v>
      </c>
      <c r="J112" s="86"/>
    </row>
    <row r="113" spans="1:63" x14ac:dyDescent="0.2">
      <c r="A113" s="4"/>
      <c r="B113" s="13" t="s">
        <v>62</v>
      </c>
      <c r="C113" s="171" t="s">
        <v>104</v>
      </c>
      <c r="D113" s="171"/>
      <c r="E113" s="174" t="s">
        <v>105</v>
      </c>
      <c r="F113" s="173">
        <v>34</v>
      </c>
      <c r="G113" s="4" t="s">
        <v>18</v>
      </c>
      <c r="H113" s="105">
        <v>0</v>
      </c>
      <c r="I113" s="88">
        <f t="shared" si="4"/>
        <v>0</v>
      </c>
      <c r="J113" s="86"/>
    </row>
    <row r="114" spans="1:63" x14ac:dyDescent="0.2">
      <c r="A114" s="4">
        <f>IF(F114&lt;&gt;"",1+MAX($A$6:A29),"")</f>
        <v>16</v>
      </c>
      <c r="B114" s="13" t="s">
        <v>62</v>
      </c>
      <c r="C114" s="171" t="s">
        <v>104</v>
      </c>
      <c r="D114" s="171"/>
      <c r="E114" s="174" t="s">
        <v>106</v>
      </c>
      <c r="F114" s="173">
        <f>34*1.043*1.2</f>
        <v>42.554399999999994</v>
      </c>
      <c r="G114" s="4" t="s">
        <v>113</v>
      </c>
      <c r="H114" s="105">
        <v>0</v>
      </c>
      <c r="I114" s="88">
        <f t="shared" si="4"/>
        <v>0</v>
      </c>
      <c r="J114" s="86"/>
    </row>
    <row r="115" spans="1:63" x14ac:dyDescent="0.2">
      <c r="A115" s="4">
        <f>IF(F115&lt;&gt;"",1+MAX($A$6:A114),"")</f>
        <v>17</v>
      </c>
      <c r="B115" s="13" t="s">
        <v>62</v>
      </c>
      <c r="C115" s="171" t="s">
        <v>63</v>
      </c>
      <c r="D115" s="171"/>
      <c r="E115" s="174" t="s">
        <v>107</v>
      </c>
      <c r="F115" s="173">
        <f>2*4*0.668*1.2*10</f>
        <v>64.128</v>
      </c>
      <c r="G115" s="4" t="s">
        <v>113</v>
      </c>
      <c r="H115" s="105">
        <v>0</v>
      </c>
      <c r="I115" s="88">
        <f t="shared" si="4"/>
        <v>0</v>
      </c>
      <c r="J115" s="86"/>
    </row>
    <row r="116" spans="1:63" x14ac:dyDescent="0.2">
      <c r="A116" s="4" t="str">
        <f>IF(F116&lt;&gt;"",1+MAX($A$6:A115),"")</f>
        <v/>
      </c>
      <c r="B116" s="13"/>
      <c r="C116" s="171"/>
      <c r="D116" s="171"/>
      <c r="E116" s="176"/>
      <c r="F116" s="173"/>
      <c r="G116" s="13"/>
      <c r="H116" s="105"/>
      <c r="I116" s="88"/>
      <c r="J116" s="86"/>
    </row>
    <row r="117" spans="1:63" x14ac:dyDescent="0.2">
      <c r="A117" s="4" t="str">
        <f>IF(F117&lt;&gt;"",1+MAX($A$6:A116),"")</f>
        <v/>
      </c>
      <c r="B117" s="13"/>
      <c r="C117" s="167"/>
      <c r="D117" s="168"/>
      <c r="E117" s="169" t="s">
        <v>108</v>
      </c>
      <c r="F117" s="170"/>
      <c r="G117" s="179"/>
      <c r="H117" s="105"/>
      <c r="I117" s="88"/>
      <c r="J117" s="86"/>
    </row>
    <row r="118" spans="1:63" x14ac:dyDescent="0.2">
      <c r="A118" s="4">
        <f>IF(F118&lt;&gt;"",1+MAX($A$6:A117),"")</f>
        <v>18</v>
      </c>
      <c r="B118" s="13" t="s">
        <v>62</v>
      </c>
      <c r="C118" s="171" t="s">
        <v>109</v>
      </c>
      <c r="D118" s="171"/>
      <c r="E118" s="174" t="s">
        <v>64</v>
      </c>
      <c r="F118" s="173">
        <f>306*2*1.33/27</f>
        <v>30.146666666666668</v>
      </c>
      <c r="G118" s="4" t="s">
        <v>112</v>
      </c>
      <c r="H118" s="105">
        <v>0</v>
      </c>
      <c r="I118" s="88">
        <f t="shared" si="4"/>
        <v>0</v>
      </c>
      <c r="J118" s="86"/>
    </row>
    <row r="119" spans="1:63" x14ac:dyDescent="0.2">
      <c r="A119" s="4">
        <f>IF(F119&lt;&gt;"",1+MAX($A$6:A118),"")</f>
        <v>19</v>
      </c>
      <c r="B119" s="13" t="s">
        <v>62</v>
      </c>
      <c r="C119" s="171" t="s">
        <v>109</v>
      </c>
      <c r="D119" s="171"/>
      <c r="E119" s="174" t="s">
        <v>110</v>
      </c>
      <c r="F119" s="173">
        <f>306*1.33</f>
        <v>406.98</v>
      </c>
      <c r="G119" s="4" t="s">
        <v>114</v>
      </c>
      <c r="H119" s="105">
        <v>0</v>
      </c>
      <c r="I119" s="88">
        <f t="shared" si="4"/>
        <v>0</v>
      </c>
      <c r="J119" s="86"/>
    </row>
    <row r="120" spans="1:63" x14ac:dyDescent="0.2">
      <c r="A120" s="4">
        <f>IF(F120&lt;&gt;"",1+MAX($A$6:A119),"")</f>
        <v>20</v>
      </c>
      <c r="B120" s="13" t="s">
        <v>62</v>
      </c>
      <c r="C120" s="171" t="s">
        <v>109</v>
      </c>
      <c r="D120" s="171"/>
      <c r="E120" s="174" t="s">
        <v>111</v>
      </c>
      <c r="F120" s="173">
        <f>2*306*1.043*1.2</f>
        <v>765.97919999999988</v>
      </c>
      <c r="G120" s="4" t="s">
        <v>113</v>
      </c>
      <c r="H120" s="105">
        <v>0</v>
      </c>
      <c r="I120" s="88">
        <f t="shared" si="4"/>
        <v>0</v>
      </c>
      <c r="J120" s="86"/>
    </row>
    <row r="121" spans="1:63" x14ac:dyDescent="0.2">
      <c r="A121" s="4">
        <f>IF(F121&lt;&gt;"",1+MAX($A$6:A120),"")</f>
        <v>21</v>
      </c>
      <c r="B121" s="13" t="s">
        <v>62</v>
      </c>
      <c r="C121" s="171" t="s">
        <v>109</v>
      </c>
      <c r="D121" s="171"/>
      <c r="E121" s="174" t="s">
        <v>67</v>
      </c>
      <c r="F121" s="173">
        <f>306*2.33*1.33/27</f>
        <v>35.120866666666672</v>
      </c>
      <c r="G121" s="4" t="s">
        <v>112</v>
      </c>
      <c r="H121" s="105">
        <v>0</v>
      </c>
      <c r="I121" s="88">
        <f t="shared" si="4"/>
        <v>0</v>
      </c>
      <c r="J121" s="86"/>
    </row>
    <row r="122" spans="1:63" x14ac:dyDescent="0.2">
      <c r="A122" s="4">
        <f>IF(F122&lt;&gt;"",1+MAX($A$6:A121),"")</f>
        <v>22</v>
      </c>
      <c r="B122" s="13" t="s">
        <v>62</v>
      </c>
      <c r="C122" s="171" t="s">
        <v>109</v>
      </c>
      <c r="D122" s="171"/>
      <c r="E122" s="174" t="s">
        <v>68</v>
      </c>
      <c r="F122" s="173">
        <f>F121-F118</f>
        <v>4.9742000000000033</v>
      </c>
      <c r="G122" s="4" t="s">
        <v>112</v>
      </c>
      <c r="H122" s="105">
        <v>0</v>
      </c>
      <c r="I122" s="88">
        <f t="shared" si="4"/>
        <v>0</v>
      </c>
      <c r="J122" s="86"/>
    </row>
    <row r="123" spans="1:63" ht="16.5" thickBot="1" x14ac:dyDescent="0.25">
      <c r="A123" s="96" t="str">
        <f>IF(F123&lt;&gt;"",1+MAX($A$6:A122),"")</f>
        <v/>
      </c>
      <c r="B123" s="97"/>
      <c r="C123" s="98"/>
      <c r="D123" s="99"/>
      <c r="E123" s="100"/>
      <c r="F123" s="166"/>
      <c r="G123" s="97"/>
      <c r="H123" s="102"/>
      <c r="I123" s="103"/>
      <c r="J123" s="104"/>
    </row>
    <row r="124" spans="1:63" ht="16.5" thickBot="1" x14ac:dyDescent="0.25">
      <c r="A124" s="188" t="s">
        <v>57</v>
      </c>
      <c r="B124" s="189"/>
      <c r="C124" s="189"/>
      <c r="D124" s="189"/>
      <c r="E124" s="189"/>
      <c r="F124" s="189"/>
      <c r="G124" s="189"/>
      <c r="H124" s="189"/>
      <c r="I124" s="190"/>
      <c r="J124" s="37">
        <f>(SUM(I23:I123))</f>
        <v>0</v>
      </c>
      <c r="K124" s="51"/>
      <c r="L124" s="51"/>
      <c r="M124" s="51"/>
      <c r="N124" s="51"/>
      <c r="O124" s="51"/>
      <c r="P124" s="51"/>
      <c r="Q124" s="51"/>
      <c r="R124" s="51"/>
      <c r="S124" s="51"/>
      <c r="T124" s="51"/>
      <c r="U124" s="51"/>
      <c r="V124" s="51"/>
      <c r="W124" s="51"/>
      <c r="X124" s="51"/>
      <c r="Y124" s="51"/>
      <c r="Z124" s="51"/>
      <c r="AA124" s="51"/>
      <c r="AB124" s="51"/>
      <c r="AC124" s="51"/>
      <c r="AD124" s="51"/>
      <c r="AE124" s="51"/>
      <c r="AF124" s="51"/>
      <c r="AG124" s="51"/>
      <c r="AH124" s="51"/>
      <c r="AI124" s="51"/>
      <c r="AJ124" s="51"/>
      <c r="AK124" s="51"/>
      <c r="AL124" s="51"/>
      <c r="AM124" s="51"/>
      <c r="AN124" s="51"/>
      <c r="AO124" s="51"/>
      <c r="AP124" s="51"/>
      <c r="AQ124" s="51"/>
      <c r="AR124" s="51"/>
      <c r="AS124" s="51"/>
      <c r="AT124" s="51"/>
      <c r="AU124" s="51"/>
      <c r="AV124" s="51"/>
      <c r="AW124" s="51"/>
      <c r="AX124" s="51"/>
      <c r="AY124" s="51"/>
      <c r="AZ124" s="51"/>
      <c r="BA124" s="51"/>
      <c r="BB124" s="51"/>
      <c r="BC124" s="51"/>
      <c r="BD124" s="51"/>
      <c r="BE124" s="51"/>
      <c r="BF124" s="51"/>
      <c r="BG124" s="51"/>
      <c r="BH124" s="51"/>
      <c r="BI124" s="51"/>
      <c r="BJ124" s="51"/>
      <c r="BK124" s="51"/>
    </row>
    <row r="125" spans="1:63" ht="16.5" thickBot="1" x14ac:dyDescent="0.25">
      <c r="A125" s="89"/>
      <c r="B125" s="90"/>
      <c r="C125" s="90"/>
      <c r="D125" s="90"/>
      <c r="E125" s="91"/>
      <c r="F125" s="92"/>
      <c r="G125" s="89"/>
      <c r="H125" s="93"/>
      <c r="I125" s="94"/>
      <c r="J125" s="95"/>
    </row>
    <row r="126" spans="1:63" s="64" customFormat="1" ht="16.5" thickBot="1" x14ac:dyDescent="0.25">
      <c r="A126" s="199" t="s">
        <v>25</v>
      </c>
      <c r="B126" s="200"/>
      <c r="C126" s="200"/>
      <c r="D126" s="200"/>
      <c r="E126" s="200"/>
      <c r="F126" s="200"/>
      <c r="G126" s="200"/>
      <c r="H126" s="201"/>
      <c r="I126" s="193">
        <f>J20+J124</f>
        <v>0</v>
      </c>
      <c r="J126" s="194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</row>
    <row r="127" spans="1:63" s="64" customFormat="1" ht="16.5" thickBot="1" x14ac:dyDescent="0.25">
      <c r="A127" s="150" t="s">
        <v>20</v>
      </c>
      <c r="B127" s="151"/>
      <c r="C127" s="151"/>
      <c r="D127" s="151"/>
      <c r="E127" s="151"/>
      <c r="F127" s="151"/>
      <c r="G127" s="151"/>
      <c r="H127" s="151"/>
      <c r="I127" s="195">
        <f>I126</f>
        <v>0</v>
      </c>
      <c r="J127" s="196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  <c r="BA127" s="10"/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</row>
    <row r="128" spans="1:63" s="64" customFormat="1" ht="16.5" thickBot="1" x14ac:dyDescent="0.25">
      <c r="A128" s="150" t="s">
        <v>26</v>
      </c>
      <c r="B128" s="151"/>
      <c r="C128" s="151"/>
      <c r="D128" s="151"/>
      <c r="E128" s="151"/>
      <c r="F128" s="151"/>
      <c r="G128" s="151"/>
      <c r="H128" s="112">
        <v>0.25</v>
      </c>
      <c r="I128" s="195">
        <f>I126*H128</f>
        <v>0</v>
      </c>
      <c r="J128" s="196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0"/>
      <c r="BA128" s="10"/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</row>
    <row r="129" spans="1:63" s="64" customFormat="1" ht="16.5" thickBot="1" x14ac:dyDescent="0.25">
      <c r="A129" s="150" t="s">
        <v>27</v>
      </c>
      <c r="B129" s="151"/>
      <c r="C129" s="151"/>
      <c r="D129" s="151"/>
      <c r="E129" s="151"/>
      <c r="F129" s="151"/>
      <c r="G129" s="151"/>
      <c r="H129" s="112">
        <v>0.03</v>
      </c>
      <c r="I129" s="195">
        <f>I126*H129</f>
        <v>0</v>
      </c>
      <c r="J129" s="196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</row>
    <row r="130" spans="1:63" s="64" customFormat="1" ht="16.5" thickBot="1" x14ac:dyDescent="0.25">
      <c r="A130" s="150" t="s">
        <v>28</v>
      </c>
      <c r="B130" s="151"/>
      <c r="C130" s="151"/>
      <c r="D130" s="151"/>
      <c r="E130" s="151"/>
      <c r="F130" s="151"/>
      <c r="G130" s="151"/>
      <c r="H130" s="112">
        <v>7.0000000000000007E-2</v>
      </c>
      <c r="I130" s="197">
        <f>I126*H130</f>
        <v>0</v>
      </c>
      <c r="J130" s="198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</row>
    <row r="131" spans="1:63" s="61" customFormat="1" ht="16.5" thickBot="1" x14ac:dyDescent="0.25">
      <c r="A131" s="199" t="s">
        <v>3</v>
      </c>
      <c r="B131" s="200"/>
      <c r="C131" s="200"/>
      <c r="D131" s="200"/>
      <c r="E131" s="200"/>
      <c r="F131" s="200"/>
      <c r="G131" s="200"/>
      <c r="H131" s="200"/>
      <c r="I131" s="191">
        <f>SUM(I127:J130)</f>
        <v>0</v>
      </c>
      <c r="J131" s="192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  <c r="BE131" s="10"/>
      <c r="BF131" s="10"/>
      <c r="BG131" s="10"/>
      <c r="BH131" s="10"/>
      <c r="BI131" s="10"/>
      <c r="BJ131" s="10"/>
      <c r="BK131" s="10"/>
    </row>
    <row r="132" spans="1:63" x14ac:dyDescent="0.2">
      <c r="A132" s="40" t="s">
        <v>15</v>
      </c>
      <c r="B132" s="41"/>
      <c r="C132" s="41"/>
      <c r="D132" s="41"/>
      <c r="E132" s="42"/>
      <c r="F132" s="43"/>
      <c r="G132" s="41"/>
      <c r="H132" s="45"/>
      <c r="I132" s="44"/>
      <c r="J132" s="68"/>
    </row>
    <row r="133" spans="1:63" ht="16.5" thickBot="1" x14ac:dyDescent="0.25">
      <c r="A133" s="52"/>
      <c r="B133" s="22"/>
      <c r="C133" s="22"/>
      <c r="D133" s="22"/>
      <c r="E133" s="23"/>
      <c r="F133" s="24"/>
      <c r="G133" s="22"/>
      <c r="H133" s="25"/>
      <c r="I133" s="26"/>
      <c r="J133" s="69"/>
    </row>
    <row r="154" spans="8:8" x14ac:dyDescent="0.2">
      <c r="H154" s="15"/>
    </row>
  </sheetData>
  <mergeCells count="12">
    <mergeCell ref="A8:J8"/>
    <mergeCell ref="A20:I20"/>
    <mergeCell ref="A22:J22"/>
    <mergeCell ref="A124:I124"/>
    <mergeCell ref="I131:J131"/>
    <mergeCell ref="I126:J126"/>
    <mergeCell ref="I127:J127"/>
    <mergeCell ref="I128:J128"/>
    <mergeCell ref="I129:J129"/>
    <mergeCell ref="I130:J130"/>
    <mergeCell ref="A126:H126"/>
    <mergeCell ref="A131:H131"/>
  </mergeCells>
  <pageMargins left="0.25" right="0.25" top="0.75" bottom="0.75" header="0.3" footer="0.3"/>
  <pageSetup paperSize="9" scale="92" fitToHeight="0" orientation="landscape" r:id="rId1"/>
  <headerFooter>
    <oddFooter>&amp;C&amp;P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SUMMARY</vt:lpstr>
      <vt:lpstr>SITE ESTIMATE</vt:lpstr>
      <vt:lpstr>'SITE ESTIMATE'!Print_Area</vt:lpstr>
      <vt:lpstr>SUMMARY!Print_Area</vt:lpstr>
      <vt:lpstr>'SITE ESTIMATE'!Print_Titles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2013-07-08T09:36:48Z</dcterms:created>
  <dcterms:modified xsi:type="dcterms:W3CDTF">2025-12-11T10:00:36Z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</Properties>
</file>